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Fcast_Ass_SSC" sheetId="11" r:id="rId11"/>
    <sheet name="Fcast_TA" sheetId="12" r:id="rId12"/>
    <sheet name="Base_OP_SC" sheetId="13" r:id="rId13"/>
    <sheet name="Fcast_OP_SSC" sheetId="14" r:id="rId14"/>
    <sheet name="Fcast_TO" sheetId="15" r:id="rId15"/>
    <sheet name="FS_OP_SSC" sheetId="16" r:id="rId16"/>
    <sheet name="IS_TO" sheetId="17" r:id="rId17"/>
    <sheet name="BS_TO" sheetId="18" r:id="rId18"/>
    <sheet name="CFS_TO" sheetId="19" r:id="rId19"/>
    <sheet name="Dashboards_SSC" sheetId="20" r:id="rId20"/>
    <sheet name="BS_Sum_P_MS" sheetId="21" r:id="rId21"/>
    <sheet name="Appendices_SC" sheetId="22" r:id="rId22"/>
    <sheet name="Checks_SSC" sheetId="23" r:id="rId23"/>
    <sheet name="Checks_BO" sheetId="24" r:id="rId24"/>
    <sheet name="LU_SSC" sheetId="25" r:id="rId25"/>
    <sheet name="TS_LU" sheetId="26" r:id="rId26"/>
    <sheet name="Capital_LU" sheetId="27" r:id="rId27"/>
    <sheet name="Dashboards_LU" sheetId="28"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'Cover'!$C$10</definedName>
    <definedName name="BPM_TC_10" hidden="1">'Checks_BO'!$B$49</definedName>
    <definedName name="BPM_TC_11" hidden="1">'Checks_BO'!$I$14</definedName>
    <definedName name="BPM_TC_2" hidden="1">'Contents'!$B$2</definedName>
    <definedName name="BPM_TC_3" hidden="1">'Fcast_TO'!$K$31</definedName>
    <definedName name="BPM_TC_4" hidden="1">'BS_TO'!$D$4</definedName>
    <definedName name="BPM_TC_5" hidden="1">'BS_TO'!$J$69</definedName>
    <definedName name="BPM_TC_6" hidden="1">'BS_TO'!$J$73</definedName>
    <definedName name="BPM_TC_7" hidden="1">'BS_TO'!$L$70</definedName>
    <definedName name="BPM_TC_8" hidden="1">'Checks_BO'!$B$7</definedName>
    <definedName name="BPM_TC_9" hidden="1">'Checks_BO'!$B$33</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'Cover'!$B$1:$N$32</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C10" authorId="0">
      <text>
        <r>
          <rPr>
            <b/>
            <sz val="9"/>
            <rFont val="Tahoma"/>
            <family val="2"/>
          </rPr>
          <t>Best Practice Modelling:</t>
        </r>
        <r>
          <rPr>
            <sz val="9"/>
            <rFont val="Tahoma"/>
            <family val="2"/>
          </rPr>
          <t xml:space="preserve">
Check summary cell for each check type linked to model name cell and fed to every sheet in workbook (BPMS 11-8, BPMC 11-2).</t>
        </r>
      </text>
    </comment>
  </commentList>
</comments>
</file>

<file path=xl/comments10.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2.xml><?xml version="1.0" encoding="utf-8"?>
<comments xmlns="http://schemas.openxmlformats.org/spreadsheetml/2006/main">
  <authors>
    <author>Michael Hutchens</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List>
</comments>
</file>

<file path=xl/comments15.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K31" authorId="1">
      <text>
        <r>
          <rPr>
            <b/>
            <sz val="9"/>
            <rFont val="Tahoma"/>
            <family val="2"/>
          </rPr>
          <t>Best Practice Modelling:</t>
        </r>
        <r>
          <rPr>
            <sz val="9"/>
            <rFont val="Tahoma"/>
            <family val="2"/>
          </rPr>
          <t xml:space="preserve">
Formula intentionally adjusted to create an error for demonstration purposes.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7.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Best Practice Modelling</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 ref="J69" authorId="1">
      <text>
        <r>
          <rPr>
            <b/>
            <sz val="9"/>
            <rFont val="Tahoma"/>
            <family val="2"/>
          </rPr>
          <t>Best Practice Modelling:</t>
        </r>
        <r>
          <rPr>
            <sz val="9"/>
            <rFont val="Tahoma"/>
            <family val="2"/>
          </rPr>
          <t xml:space="preserve">
Error check flags capture both value and calculation errors within the balance sheet (BPMS 11-2, BPMC 11-3).</t>
        </r>
      </text>
    </comment>
    <comment ref="J73" authorId="1">
      <text>
        <r>
          <rPr>
            <b/>
            <sz val="9"/>
            <rFont val="Tahoma"/>
            <family val="2"/>
          </rPr>
          <t>Best Practice Modelling:</t>
        </r>
        <r>
          <rPr>
            <sz val="9"/>
            <rFont val="Tahoma"/>
            <family val="2"/>
          </rPr>
          <t xml:space="preserve">
Alert checks used to capture non-error, non-sensitivity results worth flagging (BPMS 11-7, BPMC 11-3).</t>
        </r>
      </text>
    </comment>
    <comment ref="L70" authorId="1">
      <text>
        <r>
          <rPr>
            <b/>
            <sz val="9"/>
            <rFont val="Tahoma"/>
            <family val="2"/>
          </rPr>
          <t>Best Practice Modelling:</t>
        </r>
        <r>
          <rPr>
            <sz val="9"/>
            <rFont val="Tahoma"/>
            <family val="2"/>
          </rPr>
          <t xml:space="preserve">
Check cell conditional formatting used to highlight activated checks (BPMC 11-2).</t>
        </r>
      </text>
    </comment>
    <comment ref="D4" authorId="1">
      <text>
        <r>
          <rPr>
            <b/>
            <sz val="9"/>
            <rFont val="Tahoma"/>
            <family val="2"/>
          </rPr>
          <t>Best Practice Modelling:</t>
        </r>
        <r>
          <rPr>
            <sz val="9"/>
            <rFont val="Tahoma"/>
            <family val="2"/>
          </rPr>
          <t xml:space="preserve">
Check hyperlinks included on all worksheets to provide access to checks summaries.</t>
        </r>
      </text>
    </comment>
  </commentList>
</comments>
</file>

<file path=xl/comments19.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B2" authorId="0">
      <text>
        <r>
          <rPr>
            <b/>
            <sz val="9"/>
            <rFont val="Tahoma"/>
            <family val="2"/>
          </rPr>
          <t>Best Practice Modelling:</t>
        </r>
        <r>
          <rPr>
            <sz val="9"/>
            <rFont val="Tahoma"/>
            <family val="2"/>
          </rPr>
          <t xml:space="preserve">
Active checks communicated through model name cell link within each sheet.</t>
        </r>
      </text>
    </comment>
  </commentList>
</comments>
</file>

<file path=xl/comments24.xml><?xml version="1.0" encoding="utf-8"?>
<comments xmlns="http://schemas.openxmlformats.org/spreadsheetml/2006/main">
  <authors>
    <author>Best Practice Modelling</author>
  </authors>
  <commentList>
    <comment ref="B7" authorId="0">
      <text>
        <r>
          <rPr>
            <b/>
            <sz val="9"/>
            <rFont val="Tahoma"/>
            <family val="2"/>
          </rPr>
          <t>Best Practice Modelling:</t>
        </r>
        <r>
          <rPr>
            <sz val="9"/>
            <rFont val="Tahoma"/>
            <family val="2"/>
          </rPr>
          <t xml:space="preserve">
Dedicated error checks summary (BPMS 11-5, BPMS 11-10).</t>
        </r>
      </text>
    </comment>
    <comment ref="B33" authorId="0">
      <text>
        <r>
          <rPr>
            <b/>
            <sz val="9"/>
            <rFont val="Tahoma"/>
            <family val="2"/>
          </rPr>
          <t>Best Practice Modelling:</t>
        </r>
        <r>
          <rPr>
            <sz val="9"/>
            <rFont val="Tahoma"/>
            <family val="2"/>
          </rPr>
          <t xml:space="preserve">
Dedicated sensitivity checks summary (BPMS 11-6, BPMS 11-10).</t>
        </r>
      </text>
    </comment>
    <comment ref="B49" authorId="0">
      <text>
        <r>
          <rPr>
            <b/>
            <sz val="9"/>
            <rFont val="Tahoma"/>
            <family val="2"/>
          </rPr>
          <t>Best Practice Modelling:</t>
        </r>
        <r>
          <rPr>
            <sz val="9"/>
            <rFont val="Tahoma"/>
            <family val="2"/>
          </rPr>
          <t xml:space="preserve">
Dedicated alert checks summary (BPMS 11-7, BPMS 11-10).</t>
        </r>
      </text>
    </comment>
    <comment ref="I14" authorId="0">
      <text>
        <r>
          <rPr>
            <b/>
            <sz val="9"/>
            <rFont val="Tahoma"/>
            <family val="2"/>
          </rPr>
          <t>Best Practice Modelling:</t>
        </r>
        <r>
          <rPr>
            <sz val="9"/>
            <rFont val="Tahoma"/>
            <family val="2"/>
          </rPr>
          <t xml:space="preserve">
Check summary cell (BPMC 11-4).</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<sst xmlns="http://schemas.openxmlformats.org/spreadsheetml/2006/main" count="944" uniqueCount="575">
  <si>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</si>
  <si>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</si>
  <si>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</si>
  <si>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</si>
  <si>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</si>
  <si>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</si>
  <si>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</si>
  <si>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</si>
  <si>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</si>
  <si>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</si>
  <si>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</si>
  <si>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</si>
  <si>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</si>
  <si>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</si>
  <si>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</si>
  <si>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</si>
  <si>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</si>
  <si>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</si>
  <si>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</si>
  <si>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</si>
  <si>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</si>
  <si>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</si>
  <si>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</si>
  <si>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</si>
  <si>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</si>
  <si>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</si>
  <si>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</si>
  <si>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</si>
  <si>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</si>
  <si>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</si>
  <si>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</si>
  <si>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</si>
  <si>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</si>
  <si>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</si>
  <si>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</si>
  <si>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</si>
  <si>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</si>
  <si>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</si>
  <si>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</si>
  <si>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</si>
  <si>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</si>
  <si>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</si>
  <si>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</si>
  <si>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</si>
  <si>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</si>
  <si>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</si>
  <si>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</si>
  <si>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</si>
  <si>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</si>
  <si>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</si>
  <si>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</si>
  <si>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</si>
  <si>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</si>
  <si>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</si>
  <si>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</si>
  <si>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</si>
  <si>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</si>
  <si>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</si>
  <si>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</si>
  <si>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</si>
  <si>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</si>
  <si>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</si>
  <si>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</si>
  <si>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</si>
  <si>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</si>
  <si>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</si>
  <si>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</si>
  <si>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</si>
  <si>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</si>
  <si>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</si>
  <si>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</si>
  <si>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</si>
  <si>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</si>
  <si>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</si>
  <si>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</si>
  <si>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</si>
  <si>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</si>
  <si>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</si>
  <si>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</si>
  <si>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</si>
  <si>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</si>
  <si>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</si>
  <si>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</si>
  <si>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</si>
  <si>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</si>
  <si>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</si>
  <si>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</si>
  <si>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</si>
  <si>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</si>
  <si>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</si>
  <si>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</si>
  <si>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</si>
  <si>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</si>
  <si>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</si>
  <si>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</si>
  <si>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</si>
  <si>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</si>
  <si>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</si>
  <si>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</si>
  <si>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</si>
  <si>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</si>
  <si>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</si>
  <si>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</si>
  <si>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</si>
  <si>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</si>
  <si>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</si>
  <si>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</si>
  <si>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</si>
  <si>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</si>
  <si>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</si>
  <si>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</si>
  <si>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</si>
  <si>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</si>
  <si>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</si>
  <si>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</si>
  <si>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</si>
  <si>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</si>
  <si>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</si>
  <si>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</si>
  <si>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</si>
  <si>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</si>
  <si>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</si>
  <si>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</si>
  <si>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</si>
  <si>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</si>
  <si>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</si>
  <si>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</si>
  <si>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</si>
  <si>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</si>
  <si>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</si>
  <si>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</si>
  <si>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</si>
  <si>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</si>
  <si>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</si>
  <si>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</si>
  <si>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</si>
  <si>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</si>
  <si>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</si>
  <si>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</si>
  <si>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</si>
  <si>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</si>
  <si>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</si>
  <si>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</si>
  <si>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</si>
  <si>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</si>
  <si>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</si>
  <si>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</si>
  <si>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</si>
  <si>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</si>
  <si>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</si>
  <si>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</si>
  <si>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</si>
  <si>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</si>
  <si>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</si>
  <si>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</si>
  <si>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</si>
  <si>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</si>
  <si>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</si>
  <si>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</si>
  <si>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</si>
  <si>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</si>
  <si>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</si>
  <si>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</si>
  <si>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</si>
  <si>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</si>
  <si>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</si>
  <si>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</si>
  <si>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</si>
  <si>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</si>
  <si>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</si>
  <si>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</si>
  <si>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</si>
  <si>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</si>
  <si>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</si>
  <si>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</si>
  <si>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</si>
  <si>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</si>
  <si>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</si>
  <si>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</si>
  <si>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</si>
  <si>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</si>
  <si>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</si>
  <si>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</si>
  <si>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</si>
  <si>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</si>
  <si>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</si>
  <si>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</si>
  <si>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</si>
  <si>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</si>
  <si>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</si>
  <si>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</si>
  <si>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</si>
  <si>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</si>
  <si>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</si>
  <si>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</si>
  <si>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</si>
  <si>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</si>
  <si>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</si>
  <si>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</si>
  <si>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</si>
  <si>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</si>
  <si>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</si>
  <si>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</si>
  <si>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</si>
  <si>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</si>
  <si>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</si>
  <si>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</si>
  <si>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</si>
  <si>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</si>
  <si>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</si>
  <si>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</si>
  <si>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</si>
  <si>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</si>
  <si>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</si>
  <si>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</si>
  <si>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</si>
  <si>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</si>
  <si>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</si>
  <si>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</si>
  <si>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</si>
  <si>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</si>
  <si>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</si>
  <si>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</si>
  <si>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</si>
  <si>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</si>
  <si>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</si>
  <si>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</si>
  <si>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</si>
  <si>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</si>
  <si>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</si>
  <si>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</si>
  <si>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</si>
  <si>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</si>
  <si>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</si>
  <si>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</si>
  <si>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</si>
  <si>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</si>
  <si>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</si>
  <si>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</si>
  <si>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</si>
  <si>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</si>
  <si>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</si>
  <si>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</si>
  <si>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</si>
  <si>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</si>
  <si>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</si>
  <si>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</si>
  <si>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</si>
  <si>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</si>
  <si>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</si>
  <si>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</si>
  <si>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</si>
  <si>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</si>
  <si>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</si>
  <si>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</si>
  <si>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</si>
  <si>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</si>
  <si>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</si>
  <si>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</si>
  <si>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</si>
  <si>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</si>
  <si>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</si>
  <si>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</si>
  <si>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</si>
  <si>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</si>
  <si>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</si>
  <si>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</si>
  <si>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</si>
  <si>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</si>
  <si>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</si>
  <si>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</si>
  <si>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</si>
  <si>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</si>
  <si>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</si>
  <si>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</si>
  <si>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</si>
  <si>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</si>
  <si>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</si>
  <si>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</si>
  <si>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</si>
  <si>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</si>
  <si>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</si>
  <si>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</si>
  <si>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</si>
  <si>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</si>
  <si>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</si>
  <si>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</si>
  <si>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</si>
  <si>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</si>
  <si>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</si>
  <si>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</si>
  <si>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</si>
  <si>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</si>
  <si>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</si>
  <si>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</si>
  <si>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</si>
  <si>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</si>
  <si>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</si>
  <si>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</si>
  <si>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</si>
  <si>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</si>
  <si>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</si>
  <si>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</si>
  <si>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</si>
  <si>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</si>
  <si>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</si>
  <si>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</si>
  <si>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</si>
  <si>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</si>
  <si>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</si>
  <si>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</si>
  <si>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</si>
  <si>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</si>
  <si>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</si>
  <si>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</si>
  <si>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</si>
  <si>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</si>
  <si>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</si>
  <si>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</si>
  <si>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</si>
  <si>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</si>
  <si>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</si>
  <si>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</si>
  <si>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</si>
  <si>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</si>
  <si>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</si>
  <si>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</si>
  <si>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</si>
  <si>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</si>
  <si>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</si>
  <si>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</si>
  <si>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</si>
  <si>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</si>
  <si>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</si>
  <si>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</si>
  <si>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</si>
  <si>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</si>
  <si>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</si>
  <si>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</si>
  <si>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</si>
  <si>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</si>
  <si>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</si>
  <si>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</si>
  <si>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</si>
  <si>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</si>
  <si>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</si>
  <si>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</si>
  <si>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</si>
  <si>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</si>
  <si>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</si>
  <si>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</si>
  <si>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</si>
  <si>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</si>
  <si>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</si>
  <si>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</si>
  <si>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</si>
  <si>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</si>
  <si>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</si>
  <si>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</si>
  <si>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</si>
  <si>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</si>
  <si>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</si>
  <si>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</si>
  <si>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</si>
  <si>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</si>
  <si>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</si>
  <si>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</si>
  <si>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</si>
  <si>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</si>
  <si>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</si>
  <si>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</si>
  <si>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</si>
  <si>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</si>
  <si>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</si>
  <si>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</si>
  <si>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</si>
  <si>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</si>
  <si>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</si>
  <si>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</si>
  <si>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</si>
  <si>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</si>
  <si>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</si>
  <si>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</si>
  <si>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</si>
  <si>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</si>
  <si>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</si>
  <si>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</si>
  <si>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</si>
  <si>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</si>
  <si>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</si>
  <si>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</si>
  <si>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</si>
  <si>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</si>
  <si>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</si>
  <si>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</si>
  <si>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</si>
  <si>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</si>
  <si>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</si>
  <si>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</si>
  <si>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</si>
  <si>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</si>
  <si>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</si>
  <si>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</si>
  <si>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</si>
  <si>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</si>
  <si>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</si>
  <si>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</si>
  <si>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</si>
  <si>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</si>
  <si>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</si>
  <si>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</si>
  <si>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</si>
  <si>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</si>
  <si>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</si>
  <si>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</si>
  <si>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</si>
  <si>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</si>
  <si>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</si>
  <si>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</si>
  <si>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</si>
  <si>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</si>
  <si>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</si>
  <si>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</si>
  <si>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</si>
  <si>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</si>
  <si>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</si>
  <si>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</si>
  <si>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</si>
  <si>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</si>
  <si>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</si>
  <si>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</si>
  <si>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</si>
  <si>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</si>
  <si>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</si>
  <si>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</si>
  <si>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</si>
  <si>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</si>
  <si>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</si>
  <si>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</si>
  <si>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</si>
  <si>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</si>
  <si>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</si>
  <si>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</si>
  <si>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</si>
  <si>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</si>
  <si>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</si>
  <si>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</si>
  <si>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</si>
  <si>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</si>
  <si>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</si>
  <si>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</si>
  <si>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</si>
  <si>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</si>
  <si>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</si>
  <si>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</si>
  <si>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</si>
  <si>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</si>
  <si>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</si>
  <si>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</si>
  <si>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</si>
  <si>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</si>
  <si>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</si>
  <si>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</si>
  <si>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</si>
  <si>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</si>
  <si>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</si>
  <si>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</si>
  <si>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</si>
  <si>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</si>
  <si>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</si>
  <si>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</si>
  <si>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</si>
  <si>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</si>
  <si>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</si>
  <si>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</si>
  <si>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</si>
  <si>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</si>
  <si>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</si>
  <si>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</si>
  <si>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</si>
  <si>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</si>
  <si>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</si>
  <si>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</si>
  <si>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</si>
  <si>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</si>
  <si>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</si>
  <si>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</si>
  <si>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</si>
  <si>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</si>
  <si>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</si>
  <si>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</si>
  <si>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</si>
  <si>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</si>
  <si>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</si>
  <si>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</si>
  <si>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</si>
  <si>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</si>
  <si>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</si>
  <si>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</si>
  <si>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</si>
  <si>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</si>
  <si>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</si>
  <si>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</si>
  <si>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</si>
  <si>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</si>
  <si>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</si>
  <si>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</si>
  <si>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</si>
  <si>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</si>
  <si>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</si>
  <si>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</si>
  <si>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</si>
  <si>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</si>
  <si>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</si>
  <si>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</si>
  <si>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</si>
  <si>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</si>
  <si>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</si>
  <si>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</si>
  <si>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</si>
  <si>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</si>
  <si>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</si>
  <si>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</si>
  <si>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</si>
  <si>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</si>
  <si>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</si>
  <si>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</si>
  <si>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</si>
  <si>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</si>
  <si>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</si>
  <si>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</si>
  <si>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</si>
  <si>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</si>
  <si>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</si>
  <si>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</si>
  <si>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</si>
  <si>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</si>
  <si>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</si>
  <si>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</si>
  <si>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</si>
  <si>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</si>
  <si>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</si>
  <si>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</si>
  <si>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</si>
  <si>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</si>
  <si>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</si>
  <si>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</si>
  <si>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</si>
  <si>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</si>
  <si>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</si>
  <si>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</si>
  <si>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</si>
  <si>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</si>
  <si>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</si>
  <si>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The purpose of this model is to provide an example of a forecast business planning model developed using bpmToolbox in accordance with the Best Practice Spreadsheet Modelling Standards.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</si>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</sst>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2">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67">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7" fillId="0" borderId="0" xfId="32">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1" fillId="0" borderId="0" xfId="28" applyFont="1" applyAlignment="1">
      <alignment horizontal="center"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0" fontId="21" fillId="2" borderId="0" xfId="28" applyFont="1" applyFill="1" applyAlignment="1">
      <alignment vertical="center" wrapText="1"/>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176" fontId="0" fillId="0" borderId="0" xfId="0" applyNumberFormat="1" applyAlignment="1">
      <alignment vertical="center"/>
    </xf>
    <xf numFmtId="0" fontId="21" fillId="0" borderId="0" xfId="28" applyFont="1" applyAlignment="1">
      <alignment horizontal="center" vertical="top"/>
      <protection/>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4" fillId="0" borderId="0" xfId="0" applyFont="1" applyFill="1" applyAlignment="1">
      <alignment vertical="top" wrapText="1"/>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0" fillId="3" borderId="0" xfId="42" applyFont="1" applyFill="1" applyBorder="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2" fillId="0" borderId="0" xfId="31" applyAlignment="1">
      <alignment horizontal="center"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21" fillId="0" borderId="0" xfId="28" applyFont="1" applyFill="1" applyAlignment="1" quotePrefix="1">
      <alignment vertical="top"/>
      <protection/>
    </xf>
    <xf numFmtId="0" fontId="7" fillId="0" borderId="0" xfId="32" applyFill="1">
      <alignment vertical="center"/>
      <protection/>
    </xf>
    <xf numFmtId="0" fontId="21" fillId="0" borderId="0" xfId="28" applyFont="1" applyAlignment="1">
      <alignment horizontal="left" vertical="center"/>
      <protection/>
    </xf>
    <xf numFmtId="0" fontId="21" fillId="0" borderId="0" xfId="28" applyFont="1" applyAlignment="1">
      <alignment horizontal="center" vertical="center"/>
      <protection/>
    </xf>
    <xf numFmtId="0" fontId="22" fillId="0" borderId="3" xfId="26" applyFont="1" applyBorder="1" applyAlignment="1">
      <alignment horizontal="center" vertical="center"/>
      <protection/>
    </xf>
    <xf numFmtId="0" fontId="7" fillId="0" borderId="0" xfId="32">
      <alignment vertical="center"/>
      <protection/>
    </xf>
    <xf numFmtId="0" fontId="21" fillId="0" borderId="0" xfId="28" applyFont="1" applyAlignment="1">
      <alignment vertical="center" wrapText="1"/>
      <protection/>
    </xf>
    <xf numFmtId="169" fontId="15" fillId="0" borderId="0" xfId="33" applyNumberFormat="1" applyAlignment="1">
      <alignment horizontal="right" vertical="center"/>
      <protection/>
    </xf>
    <xf numFmtId="0" fontId="15" fillId="0" borderId="0" xfId="33">
      <alignment vertical="center"/>
      <protection/>
    </xf>
    <xf numFmtId="0" fontId="16" fillId="0" borderId="0" xfId="34" applyAlignment="1">
      <alignment horizontal="right" vertical="center"/>
      <protection/>
    </xf>
    <xf numFmtId="0" fontId="16" fillId="0" borderId="0" xfId="34">
      <alignment vertical="center"/>
      <protection/>
    </xf>
    <xf numFmtId="0" fontId="8" fillId="0" borderId="0" xfId="35" applyAlignment="1" quotePrefix="1">
      <alignment horizontal="right" vertical="center"/>
      <protection/>
    </xf>
    <xf numFmtId="0" fontId="8" fillId="0" borderId="0" xfId="35">
      <alignment vertical="center"/>
      <protection/>
    </xf>
    <xf numFmtId="0" fontId="8" fillId="0" borderId="0" xfId="36">
      <alignment vertical="center"/>
      <protection/>
    </xf>
    <xf numFmtId="0" fontId="3" fillId="0" borderId="0" xfId="0" applyFont="1" applyFill="1" applyAlignment="1">
      <alignment vertical="top"/>
    </xf>
    <xf numFmtId="0" fontId="0" fillId="0" borderId="0" xfId="0" applyFill="1" applyAlignment="1">
      <alignment vertical="top"/>
    </xf>
    <xf numFmtId="0" fontId="20" fillId="0" borderId="0" xfId="27" applyFont="1" applyFill="1" applyAlignment="1">
      <alignment vertical="top"/>
      <protection/>
    </xf>
    <xf numFmtId="0" fontId="3" fillId="0" borderId="0" xfId="0" applyFont="1" applyFill="1" applyAlignment="1" quotePrefix="1">
      <alignment horizontal="right" vertical="top"/>
    </xf>
    <xf numFmtId="0" fontId="21" fillId="0" borderId="0" xfId="28" applyFont="1" applyFill="1" applyAlignment="1">
      <alignment vertical="top" wrapText="1"/>
      <protection/>
    </xf>
    <xf numFmtId="0" fontId="21" fillId="0" borderId="0" xfId="28" applyFont="1" applyFill="1">
      <alignment vertical="center"/>
      <protection/>
    </xf>
    <xf numFmtId="0" fontId="21" fillId="0" borderId="0" xfId="28" applyFont="1" applyFill="1" applyAlignment="1">
      <alignment vertical="center" wrapText="1"/>
      <protection/>
    </xf>
    <xf numFmtId="0" fontId="21" fillId="0" borderId="0" xfId="28" applyFont="1" applyAlignment="1">
      <alignment horizontal="left" vertical="top" wrapText="1"/>
      <protection/>
    </xf>
    <xf numFmtId="0" fontId="20" fillId="0" borderId="0" xfId="27" applyFont="1" applyAlignment="1">
      <alignment horizontal="center" vertical="top"/>
      <protection/>
    </xf>
    <xf numFmtId="0" fontId="9" fillId="0" borderId="0" xfId="27" applyFont="1" applyAlignment="1">
      <alignment horizontal="center" vertical="top"/>
      <protection/>
    </xf>
    <xf numFmtId="0" fontId="25" fillId="0" borderId="0" xfId="27" applyFont="1" applyAlignment="1">
      <alignment horizontal="center" vertical="top"/>
      <protection/>
    </xf>
    <xf numFmtId="0" fontId="26" fillId="0" borderId="0" xfId="27" applyFont="1" applyAlignment="1">
      <alignment horizontal="center" vertical="top"/>
      <protection/>
    </xf>
    <xf numFmtId="0" fontId="0" fillId="4" borderId="18" xfId="0" applyFill="1" applyBorder="1" applyAlignment="1">
      <alignment vertical="center"/>
    </xf>
    <xf numFmtId="0" fontId="0" fillId="4" borderId="19" xfId="0" applyFill="1" applyBorder="1" applyAlignment="1">
      <alignment vertical="center"/>
    </xf>
    <xf numFmtId="0" fontId="7" fillId="0" borderId="0" xfId="32" applyAlignment="1">
      <alignment horizontal="center" vertical="top"/>
      <protection/>
    </xf>
    <xf numFmtId="0" fontId="0" fillId="2" borderId="18" xfId="0" applyFill="1" applyBorder="1" applyAlignment="1">
      <alignment vertical="center"/>
    </xf>
    <xf numFmtId="0" fontId="0" fillId="2" borderId="19"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2" fillId="0" borderId="0" xfId="30" applyAlignment="1">
      <alignment horizontal="center" vertical="top"/>
      <protection/>
    </xf>
    <xf numFmtId="174" fontId="0" fillId="2" borderId="0" xfId="24" applyFont="1" applyFill="1" applyAlignment="1">
      <alignment horizontal="center" vertical="center"/>
      <protection/>
    </xf>
    <xf numFmtId="168" fontId="28"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168" fontId="21" fillId="0" borderId="20"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0"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21" fillId="0" borderId="20" xfId="17" applyFont="1" applyBorder="1" applyAlignment="1">
      <alignment horizontal="center" vertical="center"/>
      <protection locked="0"/>
    </xf>
    <xf numFmtId="0" fontId="21" fillId="0" borderId="5" xfId="17"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168" fontId="21" fillId="2" borderId="21" xfId="42" applyNumberFormat="1" applyFont="1" applyFill="1" applyBorder="1" applyAlignment="1">
      <alignment horizontal="center" vertical="center"/>
      <protection/>
    </xf>
    <xf numFmtId="0" fontId="28" fillId="2" borderId="0" xfId="28" applyFont="1" applyFill="1" applyAlignment="1">
      <alignment horizontal="center" vertical="center"/>
      <protection/>
    </xf>
    <xf numFmtId="0" fontId="21" fillId="2" borderId="0" xfId="28" applyFont="1" applyFill="1" applyAlignment="1">
      <alignment vertical="center" wrapText="1"/>
      <protection/>
    </xf>
    <xf numFmtId="0" fontId="7" fillId="0" borderId="0" xfId="53">
      <alignment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xf numFmtId="0" fontId="36" fillId="0" borderId="0" xfId="48" applyFont="1" applyFill="1" applyBorder="1" applyAlignment="1">
      <alignment horizontal="center" vertical="center"/>
      <protection/>
    </xf>
    <xf numFmtId="0" fontId="36" fillId="5" borderId="22" xfId="48" applyFont="1" applyFill="1" applyBorder="1" applyAlignment="1">
      <alignment horizontal="center" vertical="center"/>
      <protection/>
    </xf>
    <xf numFmtId="0" fontId="36" fillId="5" borderId="23" xfId="48" applyFont="1" applyFill="1" applyBorder="1" applyAlignment="1">
      <alignment horizontal="center" vertical="center"/>
      <protection/>
    </xf>
    <xf numFmtId="0" fontId="36" fillId="5" borderId="24" xfId="48" applyFont="1" applyFill="1" applyBorder="1" applyAlignment="1">
      <alignment horizontal="center" vertical="center"/>
      <protection/>
    </xf>
    <xf numFmtId="0" fontId="36" fillId="6" borderId="25" xfId="48" applyFont="1" applyFill="1" applyBorder="1" applyAlignment="1">
      <alignment horizontal="center" vertical="center"/>
      <protection/>
    </xf>
    <xf numFmtId="0" fontId="36" fillId="6" borderId="26" xfId="48" applyFont="1" applyFill="1" applyBorder="1" applyAlignment="1">
      <alignment horizontal="center" vertical="center"/>
      <protection/>
    </xf>
    <xf numFmtId="0" fontId="36" fillId="6" borderId="27" xfId="48" applyFont="1" applyFill="1" applyBorder="1" applyAlignment="1">
      <alignment horizontal="center" vertical="center"/>
      <protection/>
    </xf>
    <xf numFmtId="0" fontId="2" fillId="0" borderId="0" xfId="51" applyAlignment="1">
      <alignment horizontal="right" vertical="center"/>
      <protection/>
    </xf>
    <xf numFmtId="0" fontId="2" fillId="0" borderId="0" xfId="51" applyAlignment="1">
      <alignment horizontal="left" vertical="center"/>
      <protection/>
    </xf>
    <xf numFmtId="0" fontId="2" fillId="0" borderId="0" xfId="31" applyAlignment="1">
      <alignment horizontal="center" vertical="center"/>
      <protection/>
    </xf>
    <xf numFmtId="0" fontId="36" fillId="7" borderId="28" xfId="48" applyFont="1" applyFill="1" applyBorder="1" applyAlignment="1">
      <alignment horizontal="center" vertical="center"/>
      <protection/>
    </xf>
    <xf numFmtId="0" fontId="36" fillId="7" borderId="29" xfId="48" applyFont="1" applyFill="1" applyBorder="1" applyAlignment="1">
      <alignment horizontal="center" vertical="center"/>
      <protection/>
    </xf>
    <xf numFmtId="0" fontId="36" fillId="7" borderId="30" xfId="48" applyFont="1" applyFill="1" applyBorder="1" applyAlignment="1">
      <alignment horizontal="center"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28468221"/>
        <c:axId val="54887398"/>
      </c:barChart>
      <c:catAx>
        <c:axId val="28468221"/>
        <c:scaling>
          <c:orientation val="minMax"/>
        </c:scaling>
        <c:axPos val="b"/>
        <c:delete val="0"/>
        <c:numFmt formatCode="General" sourceLinked="1"/>
        <c:majorTickMark val="out"/>
        <c:minorTickMark val="none"/>
        <c:tickLblPos val="nextTo"/>
        <c:spPr>
          <a:ln w="3175">
            <a:solidFill>
              <a:srgbClr val="808080"/>
            </a:solidFill>
          </a:ln>
        </c:spPr>
        <c:crossAx val="54887398"/>
        <c:crosses val="autoZero"/>
        <c:auto val="1"/>
        <c:lblOffset val="100"/>
        <c:tickLblSkip val="1"/>
        <c:noMultiLvlLbl val="0"/>
      </c:catAx>
      <c:valAx>
        <c:axId val="54887398"/>
        <c:scaling>
          <c:orientation val="minMax"/>
        </c:scaling>
        <c:axPos val="l"/>
        <c:delete val="0"/>
        <c:numFmt formatCode="General" sourceLinked="1"/>
        <c:majorTickMark val="out"/>
        <c:minorTickMark val="none"/>
        <c:tickLblPos val="nextTo"/>
        <c:spPr>
          <a:ln w="3175">
            <a:solidFill>
              <a:srgbClr val="808080"/>
            </a:solidFill>
          </a:ln>
        </c:spPr>
        <c:crossAx val="28468221"/>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24224535"/>
        <c:axId val="16694224"/>
      </c:barChart>
      <c:catAx>
        <c:axId val="24224535"/>
        <c:scaling>
          <c:orientation val="minMax"/>
        </c:scaling>
        <c:axPos val="b"/>
        <c:delete val="0"/>
        <c:numFmt formatCode="General" sourceLinked="1"/>
        <c:majorTickMark val="out"/>
        <c:minorTickMark val="none"/>
        <c:tickLblPos val="nextTo"/>
        <c:spPr>
          <a:ln w="3175">
            <a:solidFill>
              <a:srgbClr val="808080"/>
            </a:solidFill>
          </a:ln>
        </c:spPr>
        <c:crossAx val="16694224"/>
        <c:crosses val="autoZero"/>
        <c:auto val="1"/>
        <c:lblOffset val="100"/>
        <c:tickLblSkip val="1"/>
        <c:noMultiLvlLbl val="0"/>
      </c:catAx>
      <c:valAx>
        <c:axId val="16694224"/>
        <c:scaling>
          <c:orientation val="minMax"/>
        </c:scaling>
        <c:axPos val="l"/>
        <c:delete val="0"/>
        <c:numFmt formatCode="General" sourceLinked="1"/>
        <c:majorTickMark val="out"/>
        <c:minorTickMark val="none"/>
        <c:tickLblPos val="nextTo"/>
        <c:spPr>
          <a:ln w="3175">
            <a:solidFill>
              <a:srgbClr val="808080"/>
            </a:solidFill>
          </a:ln>
        </c:spPr>
        <c:crossAx val="2422453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16030289"/>
        <c:axId val="10054874"/>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16030289"/>
        <c:axId val="10054874"/>
      </c:lineChart>
      <c:catAx>
        <c:axId val="16030289"/>
        <c:scaling>
          <c:orientation val="minMax"/>
        </c:scaling>
        <c:axPos val="b"/>
        <c:delete val="0"/>
        <c:numFmt formatCode="General" sourceLinked="1"/>
        <c:majorTickMark val="out"/>
        <c:minorTickMark val="none"/>
        <c:tickLblPos val="low"/>
        <c:spPr>
          <a:ln w="3175">
            <a:solidFill>
              <a:srgbClr val="808080"/>
            </a:solidFill>
          </a:ln>
        </c:spPr>
        <c:crossAx val="10054874"/>
        <c:crosses val="autoZero"/>
        <c:auto val="1"/>
        <c:lblOffset val="100"/>
        <c:tickLblSkip val="1"/>
        <c:noMultiLvlLbl val="0"/>
      </c:catAx>
      <c:valAx>
        <c:axId val="10054874"/>
        <c:scaling>
          <c:orientation val="minMax"/>
        </c:scaling>
        <c:axPos val="l"/>
        <c:delete val="0"/>
        <c:numFmt formatCode="General" sourceLinked="1"/>
        <c:majorTickMark val="out"/>
        <c:minorTickMark val="none"/>
        <c:tickLblPos val="nextTo"/>
        <c:spPr>
          <a:ln w="3175">
            <a:solidFill>
              <a:srgbClr val="808080"/>
            </a:solidFill>
          </a:ln>
        </c:spPr>
        <c:crossAx val="16030289"/>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23385003"/>
        <c:axId val="9138436"/>
      </c:barChart>
      <c:catAx>
        <c:axId val="23385003"/>
        <c:scaling>
          <c:orientation val="minMax"/>
        </c:scaling>
        <c:axPos val="b"/>
        <c:delete val="0"/>
        <c:numFmt formatCode="General" sourceLinked="1"/>
        <c:majorTickMark val="out"/>
        <c:minorTickMark val="none"/>
        <c:tickLblPos val="nextTo"/>
        <c:spPr>
          <a:ln w="3175">
            <a:solidFill>
              <a:srgbClr val="808080"/>
            </a:solidFill>
          </a:ln>
        </c:spPr>
        <c:crossAx val="9138436"/>
        <c:crosses val="autoZero"/>
        <c:auto val="1"/>
        <c:lblOffset val="100"/>
        <c:tickLblSkip val="1"/>
        <c:noMultiLvlLbl val="0"/>
      </c:catAx>
      <c:valAx>
        <c:axId val="9138436"/>
        <c:scaling>
          <c:orientation val="minMax"/>
        </c:scaling>
        <c:axPos val="l"/>
        <c:delete val="0"/>
        <c:numFmt formatCode="General" sourceLinked="1"/>
        <c:majorTickMark val="out"/>
        <c:minorTickMark val="none"/>
        <c:tickLblPos val="nextTo"/>
        <c:spPr>
          <a:ln w="3175">
            <a:solidFill>
              <a:srgbClr val="808080"/>
            </a:solidFill>
          </a:ln>
        </c:spPr>
        <c:crossAx val="23385003"/>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15137061"/>
        <c:axId val="2015822"/>
      </c:barChart>
      <c:catAx>
        <c:axId val="15137061"/>
        <c:scaling>
          <c:orientation val="minMax"/>
        </c:scaling>
        <c:axPos val="b"/>
        <c:delete val="0"/>
        <c:numFmt formatCode="General" sourceLinked="1"/>
        <c:majorTickMark val="out"/>
        <c:minorTickMark val="none"/>
        <c:tickLblPos val="nextTo"/>
        <c:spPr>
          <a:ln w="3175">
            <a:solidFill>
              <a:srgbClr val="808080"/>
            </a:solidFill>
          </a:ln>
        </c:spPr>
        <c:crossAx val="2015822"/>
        <c:crosses val="autoZero"/>
        <c:auto val="1"/>
        <c:lblOffset val="100"/>
        <c:tickLblSkip val="1"/>
        <c:noMultiLvlLbl val="0"/>
      </c:catAx>
      <c:valAx>
        <c:axId val="2015822"/>
        <c:scaling>
          <c:orientation val="minMax"/>
        </c:scaling>
        <c:axPos val="l"/>
        <c:delete val="0"/>
        <c:numFmt formatCode="General" sourceLinked="1"/>
        <c:majorTickMark val="out"/>
        <c:minorTickMark val="none"/>
        <c:tickLblPos val="nextTo"/>
        <c:spPr>
          <a:ln w="3175">
            <a:solidFill>
              <a:srgbClr val="808080"/>
            </a:solidFill>
          </a:ln>
        </c:spPr>
        <c:crossAx val="15137061"/>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vmlDrawing" Target="../drawings/vmlDrawing14.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0.vml" /><Relationship Id="rId3" Type="http://schemas.openxmlformats.org/officeDocument/2006/relationships/vmlDrawing" Target="../drawings/vmlDrawing21.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2.vml" /><Relationship Id="rId3" Type="http://schemas.openxmlformats.org/officeDocument/2006/relationships/vmlDrawing" Target="../drawings/vmlDrawing23.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4.vml" /><Relationship Id="rId3" Type="http://schemas.openxmlformats.org/officeDocument/2006/relationships/vmlDrawing" Target="../drawings/vmlDrawing25.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2.xml" /><Relationship Id="rId3" Type="http://schemas.openxmlformats.org/officeDocument/2006/relationships/vmlDrawing" Target="../drawings/vmlDrawing28.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31.vml" /><Relationship Id="rId3" Type="http://schemas.openxmlformats.org/officeDocument/2006/relationships/vmlDrawing" Target="../drawings/vmlDrawing32.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5.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464</v>
      </c>
    </row>
    <row r="10" ht="15">
      <c r="C10" s="3" t="str">
        <f>"SMA 11. Checks - Best Practice Model Example"&amp;Err_Chks_Msg&amp;Sens_Chks_Msg&amp;Alt_Chks_Msg</f>
        <v>SMA 11. Checks - Best Practice Model Example (2 Errors Detected)</v>
      </c>
    </row>
    <row r="11" spans="3:7" ht="10.5">
      <c r="C11" s="205" t="s">
        <v>49</v>
      </c>
      <c r="D11" s="205"/>
      <c r="E11" s="205"/>
      <c r="F11" s="205"/>
      <c r="G11" s="205"/>
    </row>
    <row r="19" ht="10.5">
      <c r="C19" s="23" t="s">
        <v>292</v>
      </c>
    </row>
    <row r="21" ht="10.5">
      <c r="C21" s="23" t="s">
        <v>466</v>
      </c>
    </row>
    <row r="22" spans="3:4" ht="10.5">
      <c r="C22" s="34" t="s">
        <v>203</v>
      </c>
      <c r="D22" s="6" t="s">
        <v>408</v>
      </c>
    </row>
    <row r="23" spans="3:14" ht="10.5">
      <c r="C23" s="34" t="s">
        <v>203</v>
      </c>
      <c r="D23" s="206" t="s">
        <v>554</v>
      </c>
      <c r="E23" s="206"/>
      <c r="F23" s="206"/>
      <c r="G23" s="206"/>
      <c r="H23" s="206"/>
      <c r="I23" s="206"/>
      <c r="J23" s="206"/>
      <c r="K23" s="206"/>
      <c r="L23" s="206"/>
      <c r="M23" s="206"/>
      <c r="N23" s="206"/>
    </row>
    <row r="24" spans="3:14" ht="10.5">
      <c r="C24" s="111"/>
      <c r="D24" s="206"/>
      <c r="E24" s="206"/>
      <c r="F24" s="206"/>
      <c r="G24" s="206"/>
      <c r="H24" s="206"/>
      <c r="I24" s="206"/>
      <c r="J24" s="206"/>
      <c r="K24" s="206"/>
      <c r="L24" s="206"/>
      <c r="M24" s="206"/>
      <c r="N24" s="206"/>
    </row>
    <row r="25" spans="3:4" ht="10.5">
      <c r="C25" s="34" t="s">
        <v>203</v>
      </c>
      <c r="D25" s="6" t="s">
        <v>547</v>
      </c>
    </row>
    <row r="26" spans="3:13" ht="10.5">
      <c r="C26" s="34" t="s">
        <v>203</v>
      </c>
      <c r="D26" s="6" t="s">
        <v>545</v>
      </c>
      <c r="E26" s="5"/>
      <c r="F26" s="5"/>
      <c r="G26" s="5"/>
      <c r="H26" s="5"/>
      <c r="I26" s="5"/>
      <c r="J26" s="5"/>
      <c r="K26" s="5"/>
      <c r="L26" s="5"/>
      <c r="M26" s="5"/>
    </row>
    <row r="27" spans="3:13" ht="10.5">
      <c r="C27" s="34" t="s">
        <v>203</v>
      </c>
      <c r="D27" s="6" t="s">
        <v>549</v>
      </c>
      <c r="E27" s="5"/>
      <c r="F27" s="5"/>
      <c r="G27" s="5"/>
      <c r="H27" s="5"/>
      <c r="I27" s="5"/>
      <c r="J27" s="5"/>
      <c r="K27" s="5"/>
      <c r="L27" s="5"/>
      <c r="M27" s="5"/>
    </row>
    <row r="28" spans="3:9" ht="10.5">
      <c r="C28" s="34" t="s">
        <v>203</v>
      </c>
      <c r="D28" s="6" t="s">
        <v>465</v>
      </c>
      <c r="H28" s="9"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331</v>
      </c>
    </row>
    <row r="2" ht="15">
      <c r="B2" s="39" t="str">
        <f>Model_Name</f>
        <v>SMA 11. Checks - Best Practice Model Example (2 Errors Detected)</v>
      </c>
    </row>
    <row r="3" spans="2:6" ht="10.5">
      <c r="B3" s="246" t="s">
        <v>49</v>
      </c>
      <c r="C3" s="246"/>
      <c r="D3" s="246"/>
      <c r="E3" s="246"/>
      <c r="F3" s="246"/>
    </row>
    <row r="4" spans="1:6" ht="12.75">
      <c r="A4" s="41" t="s">
        <v>52</v>
      </c>
      <c r="B4" s="42" t="s">
        <v>54</v>
      </c>
      <c r="C4" s="43" t="s">
        <v>103</v>
      </c>
      <c r="D4" s="81" t="s">
        <v>206</v>
      </c>
      <c r="E4" s="81" t="s">
        <v>207</v>
      </c>
      <c r="F4" s="44" t="s">
        <v>208</v>
      </c>
    </row>
    <row r="5" ht="10.5"/>
    <row r="6" ht="10.5"/>
    <row r="7" ht="12.75">
      <c r="B7" s="45" t="s">
        <v>331</v>
      </c>
    </row>
    <row r="8" ht="10.5"/>
    <row r="9" ht="11.25">
      <c r="C9" s="46" t="s">
        <v>349</v>
      </c>
    </row>
    <row r="10" ht="10.5"/>
    <row r="11" spans="4:11" ht="10.5">
      <c r="D11" s="47" t="s">
        <v>350</v>
      </c>
      <c r="J11" s="247" t="s">
        <v>188</v>
      </c>
      <c r="K11" s="247"/>
    </row>
    <row r="12" spans="4:11" ht="10.5">
      <c r="D12" s="47" t="s">
        <v>342</v>
      </c>
      <c r="J12" s="237" t="str">
        <f>Annual</f>
        <v>Annual</v>
      </c>
      <c r="K12" s="237"/>
    </row>
    <row r="13" spans="4:11" ht="15.75" customHeight="1">
      <c r="D13" s="47" t="s">
        <v>351</v>
      </c>
      <c r="J13" s="51">
        <v>31</v>
      </c>
      <c r="K13" s="51">
        <v>12</v>
      </c>
    </row>
    <row r="14" spans="4:11" ht="10.5">
      <c r="D14" s="47" t="s">
        <v>352</v>
      </c>
      <c r="J14" s="242">
        <v>40179</v>
      </c>
      <c r="K14" s="243"/>
    </row>
    <row r="15" spans="4:11" ht="10.5">
      <c r="D15" s="47" t="s">
        <v>353</v>
      </c>
      <c r="J15" s="248">
        <v>10</v>
      </c>
      <c r="K15" s="248"/>
    </row>
    <row r="16" spans="4:11" ht="10.5" customHeight="1" hidden="1" outlineLevel="2">
      <c r="D16" s="47" t="s">
        <v>354</v>
      </c>
      <c r="J16" s="237" t="str">
        <f>INDEX(LU_Period_Type_Names,MATCH(TS_Periodicity,LU_Periodicity,0))</f>
        <v>Year</v>
      </c>
      <c r="K16" s="237"/>
    </row>
    <row r="17" spans="4:11" ht="10.5" customHeight="1" hidden="1" outlineLevel="2">
      <c r="D17" s="47" t="s">
        <v>355</v>
      </c>
      <c r="J17" s="249" t="str">
        <f>CHOOSE(MATCH(TS_Periodicity,LU_Periodicity,0),Yr_Name,"H","Q","M")</f>
        <v>Year</v>
      </c>
      <c r="K17" s="249"/>
    </row>
    <row r="18" spans="4:11" ht="10.5" customHeight="1" hidden="1" outlineLevel="2">
      <c r="D18" s="47" t="s">
        <v>356</v>
      </c>
      <c r="J18" s="249" t="b">
        <f>OR(AND(DD_TS_Fin_YE_Day&gt;=28,DD_TS_Fin_YE_Mth=2),DD_TS_Fin_YE_Day&gt;=DAY(EOMONTH(DATE(YEAR(TS_Start_Date),DD_TS_Fin_YE_Mth,1),0)))</f>
        <v>1</v>
      </c>
      <c r="K18" s="249"/>
    </row>
    <row r="19" spans="4:11" ht="10.5" customHeight="1" hidden="1" outlineLevel="2">
      <c r="D19" s="47" t="s">
        <v>357</v>
      </c>
      <c r="J19" s="234">
        <f>IF(TS_Mth_End,DATE(YEAR(TS_Per_1_FY_End_Date)-IF(TS_Per_1_FY_End_Date=EOMONTH(DATE(YEAR(TS_Per_1_FY_End_Date),Mths_In_Yr,1),0),0,1),MOD(MONTH(TS_Per_1_FY_End_Date),Mths_In_Yr)+1,1),EDATE(TS_Per_1_FY_End_Date,-Mths_In_Yr)+1)</f>
        <v>40179</v>
      </c>
      <c r="K19" s="234"/>
    </row>
    <row r="20" spans="4:11" ht="10.5" customHeight="1" hidden="1" outlineLevel="2">
      <c r="D20" s="47" t="s">
        <v>358</v>
      </c>
      <c r="J20" s="234">
        <f>IF(TS_Mth_End,EOMONTH(DATE(YEAR(TS_Start_Date)+IF(MONTH(TS_Start_Date)&gt;DD_TS_Fin_YE_Mth,1,0),DD_TS_Fin_YE_Mth,1),0),DATE(YEAR(TS_Start_Date)+IF(TS_Start_Date&gt;DATE(YEAR(TS_Start_Date),DD_TS_Fin_YE_Mth,DD_TS_Fin_YE_Day),1,0),DD_TS_Fin_YE_Mth,DD_TS_Fin_YE_Day))</f>
        <v>40543</v>
      </c>
      <c r="K20" s="234"/>
    </row>
    <row r="21" spans="4:11" ht="10.5" customHeight="1" hidden="1" outlineLevel="2">
      <c r="D21" s="47" t="s">
        <v>347</v>
      </c>
      <c r="J21" s="236">
        <f>INDEX(LU_Pers_In_Yr,MATCH(TS_Periodicity,LU_Periodicity,0))</f>
        <v>1</v>
      </c>
      <c r="K21" s="236"/>
    </row>
    <row r="22" spans="4:11" ht="10.5" customHeight="1" hidden="1" outlineLevel="2">
      <c r="D22" s="47" t="s">
        <v>359</v>
      </c>
      <c r="J22" s="236">
        <f>Mths_In_Yr/TS_Pers_In_Yr</f>
        <v>12</v>
      </c>
      <c r="K22" s="236"/>
    </row>
    <row r="23" spans="4:11" ht="10.5" customHeight="1" hidden="1" outlineLevel="2">
      <c r="D23" s="47" t="s">
        <v>360</v>
      </c>
      <c r="J23" s="236">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36"/>
    </row>
    <row r="24" spans="4:11" ht="10.5" customHeight="1" hidden="1" outlineLevel="2">
      <c r="D24" s="47" t="s">
        <v>361</v>
      </c>
      <c r="J24" s="234">
        <f>IF(TS_Mth_End,EOMONTH(EDATE(TS_Per_1_FY_Start_Date,(TS_Per_1_Number-1)*TS_Mths_In_Per-1),0)+1,EDATE(TS_Per_1_FY_Start_Date,(TS_Per_1_Number-1)*TS_Mths_In_Per))</f>
        <v>40179</v>
      </c>
      <c r="K24" s="234"/>
    </row>
    <row r="25" spans="4:11" ht="10.5" customHeight="1" hidden="1" outlineLevel="2">
      <c r="D25" s="47" t="s">
        <v>187</v>
      </c>
      <c r="J25" s="234">
        <f>IF(TS_Mth_End,EOMONTH(EDATE(TS_Per_1_FY_Start_Date,TS_Per_1_Number*TS_Mths_In_Per-1),0),EDATE(TS_Per_1_FY_Start_Date,TS_Per_1_Number*TS_Mths_In_Per)-1)</f>
        <v>40543</v>
      </c>
      <c r="K25" s="234"/>
    </row>
    <row r="26" spans="4:11" ht="15.75" customHeight="1" collapsed="1">
      <c r="D26" s="47" t="s">
        <v>88</v>
      </c>
      <c r="J26" s="238">
        <v>2</v>
      </c>
      <c r="K26" s="239"/>
    </row>
    <row r="27" spans="4:11" ht="10.5" customHeight="1" hidden="1" outlineLevel="2">
      <c r="D27" s="47" t="s">
        <v>362</v>
      </c>
      <c r="J27" s="237" t="str">
        <f>INDEX(LU_Denom,DD_TS_Denom)</f>
        <v>$Millions</v>
      </c>
      <c r="K27" s="237"/>
    </row>
    <row r="28" ht="10.5" collapsed="1"/>
    <row r="29" ht="11.25">
      <c r="C29" s="46" t="s">
        <v>363</v>
      </c>
    </row>
    <row r="30" ht="10.5"/>
    <row r="31" spans="4:11" ht="17.25" customHeight="1">
      <c r="D31" s="47" t="s">
        <v>364</v>
      </c>
      <c r="J31" s="238" t="b">
        <v>1</v>
      </c>
      <c r="K31" s="239"/>
    </row>
    <row r="32" spans="4:11" ht="10.5">
      <c r="D32" s="47" t="s">
        <v>365</v>
      </c>
      <c r="J32" s="240">
        <v>0</v>
      </c>
      <c r="K32" s="241"/>
    </row>
    <row r="33" spans="4:11" ht="10.5">
      <c r="D33" s="47" t="s">
        <v>366</v>
      </c>
      <c r="J33" s="240">
        <v>0</v>
      </c>
      <c r="K33" s="241"/>
    </row>
    <row r="34" spans="4:11" ht="10.5" customHeight="1" hidden="1" outlineLevel="2">
      <c r="D34" s="47" t="s">
        <v>367</v>
      </c>
      <c r="J34" s="244" t="s">
        <v>384</v>
      </c>
      <c r="K34" s="245"/>
    </row>
    <row r="35" spans="4:11" ht="10.5" customHeight="1" hidden="1" outlineLevel="2">
      <c r="D35" s="47" t="s">
        <v>368</v>
      </c>
      <c r="J35" s="244" t="s">
        <v>385</v>
      </c>
      <c r="K35" s="245"/>
    </row>
    <row r="36" spans="4:11" ht="10.5" customHeight="1" hidden="1" outlineLevel="2">
      <c r="D36" s="47" t="s">
        <v>369</v>
      </c>
      <c r="J36" s="244" t="s">
        <v>386</v>
      </c>
      <c r="K36" s="245"/>
    </row>
    <row r="37" ht="10.5" collapsed="1"/>
    <row r="38" ht="11.25">
      <c r="C38" s="46" t="s">
        <v>370</v>
      </c>
    </row>
    <row r="39" ht="10.5"/>
    <row r="40" spans="4:11" ht="15.75" customHeight="1">
      <c r="D40" s="47" t="s">
        <v>338</v>
      </c>
      <c r="J40" s="238">
        <v>1</v>
      </c>
      <c r="K40" s="239"/>
    </row>
    <row r="41" spans="4:11" ht="10.5">
      <c r="D41" s="47" t="s">
        <v>371</v>
      </c>
      <c r="J41" s="240">
        <v>3</v>
      </c>
      <c r="K41" s="241"/>
    </row>
    <row r="42" spans="4:11" ht="10.5">
      <c r="D42" s="47" t="s">
        <v>372</v>
      </c>
      <c r="J42" s="242">
        <v>41275</v>
      </c>
      <c r="K42" s="243"/>
    </row>
    <row r="43" ht="10.5" hidden="1" outlineLevel="2"/>
    <row r="44" ht="10.5" hidden="1" outlineLevel="2">
      <c r="D44" s="48" t="s">
        <v>373</v>
      </c>
    </row>
    <row r="45" ht="10.5" hidden="1" outlineLevel="2"/>
    <row r="46" spans="5:11" ht="10.5" customHeight="1" hidden="1" outlineLevel="2">
      <c r="E46" s="47" t="s">
        <v>374</v>
      </c>
      <c r="J46" s="234">
        <f>TS_Proj_Start_Date-1</f>
        <v>41274</v>
      </c>
      <c r="K46" s="234"/>
    </row>
    <row r="47" spans="5:11" ht="10.5" customHeight="1" hidden="1" outlineLevel="2">
      <c r="E47" s="47" t="s">
        <v>375</v>
      </c>
      <c r="J47" s="235">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35"/>
    </row>
    <row r="48" spans="5:11" ht="10.5" customHeight="1" hidden="1" outlineLevel="2">
      <c r="E48" s="47" t="s">
        <v>376</v>
      </c>
      <c r="J48" s="236">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36"/>
    </row>
    <row r="49" spans="5:11" ht="10.5" customHeight="1" hidden="1" outlineLevel="2">
      <c r="E49" s="47" t="s">
        <v>377</v>
      </c>
      <c r="J49" s="237"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37"/>
    </row>
    <row r="50" ht="10.5" hidden="1" outlineLevel="2"/>
    <row r="51" ht="10.5" hidden="1" outlineLevel="2">
      <c r="D51" s="48" t="s">
        <v>378</v>
      </c>
    </row>
    <row r="52" ht="10.5" hidden="1" outlineLevel="2"/>
    <row r="53" spans="5:11" ht="10.5" customHeight="1" hidden="1" outlineLevel="2">
      <c r="E53" s="47" t="s">
        <v>379</v>
      </c>
      <c r="J53" s="234">
        <f>IF(DD_TS_Data_Term_Basis=1,IF(TS_Mth_End,EOMONTH(EDATE(TS_Per_1_FY_Start_Date,(TS_Per_1_Number+TS_Data_Pers_Ass-1)*TS_Mths_In_Per-1),0),EDATE(TS_Per_1_FY_Start_Date,(TS_Per_1_Number+TS_Data_Pers_Ass-1)*TS_Mths_In_Per)-1)+1,TS_Proj_Start_Date_Ass)</f>
        <v>41275</v>
      </c>
      <c r="K53" s="234"/>
    </row>
    <row r="54" spans="5:11" ht="10.5" customHeight="1" hidden="1" outlineLevel="2">
      <c r="E54" s="47" t="s">
        <v>357</v>
      </c>
      <c r="J54" s="234">
        <f>IF(TS_Mth_End,DATE(YEAR(TS_Proj_Per_1_FY_End_Date)-IF(TS_Proj_Per_1_FY_End_Date=EOMONTH(DATE(YEAR(TS_Proj_Per_1_FY_End_Date),Mths_In_Yr,1),0),0,1),MOD(MONTH(TS_Proj_Per_1_FY_End_Date),Mths_In_Yr)+1,1),EDATE(TS_Proj_Per_1_FY_End_Date,-Mths_In_Yr)+1)</f>
        <v>41275</v>
      </c>
      <c r="K54" s="234"/>
    </row>
    <row r="55" spans="5:11" ht="10.5" customHeight="1" hidden="1" outlineLevel="2">
      <c r="E55" s="47" t="s">
        <v>358</v>
      </c>
      <c r="J55" s="234">
        <f>IF(TS_Mth_End,EOMONTH(DATE(YEAR(TS_Proj_Start_Date)+IF(MONTH(TS_Proj_Start_Date)&gt;DD_TS_Fin_YE_Mth,1,0),DD_TS_Fin_YE_Mth,1),0),DATE(YEAR(TS_Proj_Start_Date)+IF(TS_Proj_Start_Date&gt;DATE(YEAR(TS_Proj_Start_Date),DD_TS_Fin_YE_Mth,DD_TS_Fin_YE_Day),1,0),DD_TS_Fin_YE_Mth,DD_TS_Fin_YE_Day))</f>
        <v>41639</v>
      </c>
      <c r="K55" s="234"/>
    </row>
    <row r="56" spans="5:11" ht="10.5" customHeight="1" hidden="1" outlineLevel="2">
      <c r="E56" s="47" t="s">
        <v>360</v>
      </c>
      <c r="J56" s="236">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36"/>
    </row>
    <row r="57" spans="5:11" ht="10.5" customHeight="1" hidden="1" outlineLevel="2">
      <c r="E57" s="47" t="s">
        <v>361</v>
      </c>
      <c r="J57" s="234">
        <f>IF(TS_Mth_End,EOMONTH(EDATE(TS_Proj_Per_1_FY_Start_Date,(TS_Proj_Per_1_Number-1)*TS_Mths_In_Per-1),0)+1,EDATE(TS_Proj_Per_1_FY_Start_Date,(TS_Proj_Per_1_Number-1)*TS_Mths_In_Per))</f>
        <v>41275</v>
      </c>
      <c r="K57" s="234"/>
    </row>
    <row r="58" spans="5:11" ht="10.5" customHeight="1" hidden="1" outlineLevel="2">
      <c r="E58" s="47" t="s">
        <v>187</v>
      </c>
      <c r="J58" s="234">
        <f>IF(TS_Mth_End,EOMONTH(EDATE(TS_Proj_Per_1_FY_Start_Date,TS_Proj_Per_1_Number*TS_Mths_In_Per-1),0),EDATE(TS_Proj_Per_1_FY_Start_Date,TS_Proj_Per_1_Number*TS_Mths_In_Per)-1)</f>
        <v>41639</v>
      </c>
      <c r="K58" s="234"/>
    </row>
    <row r="59" ht="10.5" collapsed="1"/>
    <row r="60" ht="10.5">
      <c r="C60" s="48" t="s">
        <v>204</v>
      </c>
    </row>
    <row r="61" spans="3:4" ht="10.5">
      <c r="C61" s="49" t="s">
        <v>203</v>
      </c>
      <c r="D61" s="47" t="s">
        <v>380</v>
      </c>
    </row>
    <row r="62" spans="3:4" ht="10.5">
      <c r="C62" s="49" t="s">
        <v>203</v>
      </c>
      <c r="D62" s="47" t="s">
        <v>381</v>
      </c>
    </row>
    <row r="63" spans="3:4" ht="10.5">
      <c r="C63" s="49" t="s">
        <v>203</v>
      </c>
      <c r="D63" s="47" t="s">
        <v>382</v>
      </c>
    </row>
    <row r="64" spans="3:4" ht="10.5">
      <c r="C64" s="49" t="s">
        <v>203</v>
      </c>
      <c r="D64" s="50" t="s">
        <v>383</v>
      </c>
    </row>
    <row r="65" spans="3:4" ht="10.5">
      <c r="C65" s="49" t="s">
        <v>203</v>
      </c>
      <c r="D65" s="50" t="s">
        <v>540</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5" t="s">
        <v>524</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517</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2.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254" width="11.83203125" style="17" customWidth="1"/>
    <col min="255" max="16384" width="9.33203125" style="17" customWidth="1"/>
  </cols>
  <sheetData>
    <row r="1" ht="18">
      <c r="B1" s="40" t="s">
        <v>397</v>
      </c>
    </row>
    <row r="2" ht="15">
      <c r="B2" s="39" t="str">
        <f>Model_Name</f>
        <v>SMA 11. Checks - Best Practice Model Example (2 Errors Detected)</v>
      </c>
    </row>
    <row r="3" spans="2:6" ht="10.5">
      <c r="B3" s="246" t="s">
        <v>49</v>
      </c>
      <c r="C3" s="246"/>
      <c r="D3" s="246"/>
      <c r="E3" s="246"/>
      <c r="F3" s="246"/>
    </row>
    <row r="4" spans="1:6" ht="12.75">
      <c r="A4" s="41" t="s">
        <v>52</v>
      </c>
      <c r="B4" s="42" t="s">
        <v>54</v>
      </c>
      <c r="C4" s="43" t="s">
        <v>103</v>
      </c>
      <c r="D4" s="81" t="s">
        <v>206</v>
      </c>
      <c r="E4" s="81" t="s">
        <v>207</v>
      </c>
      <c r="F4" s="44" t="s">
        <v>208</v>
      </c>
    </row>
    <row r="5" ht="10.5"/>
    <row r="6" spans="2:17" ht="10.5">
      <c r="B6" s="52">
        <f>IF(TS_Pers_In_Yr=1,"",TS_Per_Type_Name&amp;" Ending")</f>
      </c>
      <c r="J6" s="53" t="str">
        <f aca="true" t="shared" si="0" ref="J6:Q6">IF(TS_Pers_In_Yr=1,"",LEFT(INDEX(LU_Mth_Names,MONTH(J9)),3)&amp;"-"&amp;RIGHT(YEAR(J9),2))&amp;" "</f>
        <v> </v>
      </c>
      <c r="K6" s="53" t="str">
        <f t="shared" si="0"/>
        <v> </v>
      </c>
      <c r="L6" s="53" t="str">
        <f t="shared" si="0"/>
        <v> </v>
      </c>
      <c r="M6" s="53" t="str">
        <f t="shared" si="0"/>
        <v> </v>
      </c>
      <c r="N6" s="53" t="str">
        <f t="shared" si="0"/>
        <v> </v>
      </c>
      <c r="O6" s="53" t="str">
        <f t="shared" si="0"/>
        <v> </v>
      </c>
      <c r="P6" s="53" t="str">
        <f t="shared" si="0"/>
        <v> </v>
      </c>
      <c r="Q6" s="53" t="str">
        <f t="shared" si="0"/>
        <v> </v>
      </c>
    </row>
    <row r="7" spans="2:17" ht="10.5">
      <c r="B7" s="58" t="str">
        <f>IF(TS_Pers_In_Yr=1,Yr_Name&amp;" Ending "&amp;DAY(TS_Per_1_End_Date)&amp;" "&amp;INDEX(LU_Mth_Names,DD_TS_Fin_YE_Mth),TS_Per_Type_Name)</f>
        <v>Year Ending 31 December</v>
      </c>
      <c r="C7" s="20"/>
      <c r="D7" s="20"/>
      <c r="E7" s="20"/>
      <c r="F7" s="20"/>
      <c r="G7" s="20"/>
      <c r="H7" s="20"/>
      <c r="I7" s="20"/>
      <c r="J7" s="59" t="str">
        <f aca="true" t="shared" si="1" ref="J7:Q7">IF(TS_Pers_In_Yr=1,J10&amp;" ",J11)&amp;IF(CB_TS_Show_Hist_Fcast_Pers,IF(J12&lt;=TS_Actual_Pers,TS_Actual_Per_Title,IF(J12&lt;=TS_Actual_Pers+TS_Budget_Pers,TS_Budget_Per_Title,TS_Fcast_Per_Title))&amp;" ","")</f>
        <v>2010 (F) </v>
      </c>
      <c r="K7" s="59" t="str">
        <f t="shared" si="1"/>
        <v>2011 (F) </v>
      </c>
      <c r="L7" s="59" t="str">
        <f t="shared" si="1"/>
        <v>2012 (F) </v>
      </c>
      <c r="M7" s="59" t="str">
        <f t="shared" si="1"/>
        <v>2013 (F) </v>
      </c>
      <c r="N7" s="59" t="str">
        <f t="shared" si="1"/>
        <v>2014 (F) </v>
      </c>
      <c r="O7" s="59" t="str">
        <f t="shared" si="1"/>
        <v>2015 (F) </v>
      </c>
      <c r="P7" s="59" t="str">
        <f t="shared" si="1"/>
        <v>2016 (F) </v>
      </c>
      <c r="Q7" s="59" t="str">
        <f t="shared" si="1"/>
        <v>2017 (F) </v>
      </c>
    </row>
    <row r="8" spans="2:17" ht="10.5" hidden="1" outlineLevel="2">
      <c r="B8" s="47" t="s">
        <v>223</v>
      </c>
      <c r="J8" s="54">
        <f aca="true" t="shared" si="2" ref="J8:Q8">IF(J12=1,TS_Start_Date,I9+1)</f>
        <v>40179</v>
      </c>
      <c r="K8" s="54">
        <f t="shared" si="2"/>
        <v>40544</v>
      </c>
      <c r="L8" s="54">
        <f t="shared" si="2"/>
        <v>40909</v>
      </c>
      <c r="M8" s="54">
        <f t="shared" si="2"/>
        <v>41275</v>
      </c>
      <c r="N8" s="54">
        <f t="shared" si="2"/>
        <v>41640</v>
      </c>
      <c r="O8" s="54">
        <f t="shared" si="2"/>
        <v>42005</v>
      </c>
      <c r="P8" s="54">
        <f t="shared" si="2"/>
        <v>42370</v>
      </c>
      <c r="Q8" s="54">
        <f t="shared" si="2"/>
        <v>42736</v>
      </c>
    </row>
    <row r="9" spans="2:17" ht="10.5" hidden="1" outlineLevel="2">
      <c r="B9" s="47" t="s">
        <v>224</v>
      </c>
      <c r="J9" s="54">
        <f aca="true" t="shared" si="3" ref="J9:Q9">IF(J12=1,TS_Per_1_End_Date,IF(TS_Mth_End,EOMONTH(EDATE(TS_Per_1_FY_Start_Date,(TS_Per_1_Number+J12-1)*TS_Mths_In_Per-1),0),EDATE(TS_Per_1_FY_Start_Date,(TS_Per_1_Number+J12-1)*TS_Mths_In_Per)-1))</f>
        <v>40543</v>
      </c>
      <c r="K9" s="54">
        <f t="shared" si="3"/>
        <v>40908</v>
      </c>
      <c r="L9" s="54">
        <f t="shared" si="3"/>
        <v>41274</v>
      </c>
      <c r="M9" s="54">
        <f t="shared" si="3"/>
        <v>41639</v>
      </c>
      <c r="N9" s="54">
        <f t="shared" si="3"/>
        <v>42004</v>
      </c>
      <c r="O9" s="54">
        <f t="shared" si="3"/>
        <v>42369</v>
      </c>
      <c r="P9" s="54">
        <f t="shared" si="3"/>
        <v>42735</v>
      </c>
      <c r="Q9" s="54">
        <f t="shared" si="3"/>
        <v>43100</v>
      </c>
    </row>
    <row r="10" spans="2:17" ht="10.5" hidden="1" outlineLevel="2">
      <c r="B10" s="47" t="s">
        <v>221</v>
      </c>
      <c r="J10" s="55">
        <f aca="true" t="shared" si="4" ref="J10:Q10">YEAR(TS_Per_1_FY_End_Date)+INT((TS_Per_1_Number+J12-2)/TS_Pers_In_Yr)</f>
        <v>2010</v>
      </c>
      <c r="K10" s="55">
        <f t="shared" si="4"/>
        <v>2011</v>
      </c>
      <c r="L10" s="55">
        <f t="shared" si="4"/>
        <v>2012</v>
      </c>
      <c r="M10" s="55">
        <f t="shared" si="4"/>
        <v>2013</v>
      </c>
      <c r="N10" s="55">
        <f t="shared" si="4"/>
        <v>2014</v>
      </c>
      <c r="O10" s="55">
        <f t="shared" si="4"/>
        <v>2015</v>
      </c>
      <c r="P10" s="55">
        <f t="shared" si="4"/>
        <v>2016</v>
      </c>
      <c r="Q10" s="55">
        <f t="shared" si="4"/>
        <v>2017</v>
      </c>
    </row>
    <row r="11" spans="2:17" ht="10.5" hidden="1" outlineLevel="2">
      <c r="B11" s="47" t="s">
        <v>222</v>
      </c>
      <c r="J11" s="56" t="str">
        <f aca="true" t="shared" si="5" ref="J11:Q11">IF(TS_Pers_In_Yr=1,Yr_Name,TS_Per_Type_Prefix&amp;IF(MOD(TS_Per_1_Number+J12-1,TS_Pers_In_Yr)=0,TS_Pers_In_Yr,MOD(TS_Per_1_Number+J12-1,TS_Pers_In_Yr)))&amp;" "</f>
        <v>Year </v>
      </c>
      <c r="K11" s="56" t="str">
        <f t="shared" si="5"/>
        <v>Year </v>
      </c>
      <c r="L11" s="56" t="str">
        <f t="shared" si="5"/>
        <v>Year </v>
      </c>
      <c r="M11" s="56" t="str">
        <f t="shared" si="5"/>
        <v>Year </v>
      </c>
      <c r="N11" s="56" t="str">
        <f t="shared" si="5"/>
        <v>Year </v>
      </c>
      <c r="O11" s="56" t="str">
        <f t="shared" si="5"/>
        <v>Year </v>
      </c>
      <c r="P11" s="56" t="str">
        <f t="shared" si="5"/>
        <v>Year </v>
      </c>
      <c r="Q11" s="56" t="str">
        <f t="shared" si="5"/>
        <v>Year </v>
      </c>
    </row>
    <row r="12" spans="2:17" ht="10.5" hidden="1" outlineLevel="2">
      <c r="B12" s="47" t="s">
        <v>225</v>
      </c>
      <c r="J12" s="57">
        <f>COLUMN(J12)-COLUMN($J12)+1</f>
        <v>1</v>
      </c>
      <c r="K12" s="57">
        <f aca="true" t="shared" si="6" ref="K12:Q12">COLUMN(K12)-COLUMN($J12)+1</f>
        <v>2</v>
      </c>
      <c r="L12" s="57">
        <f t="shared" si="6"/>
        <v>3</v>
      </c>
      <c r="M12" s="57">
        <f t="shared" si="6"/>
        <v>4</v>
      </c>
      <c r="N12" s="57">
        <f t="shared" si="6"/>
        <v>5</v>
      </c>
      <c r="O12" s="57">
        <f t="shared" si="6"/>
        <v>6</v>
      </c>
      <c r="P12" s="57">
        <f t="shared" si="6"/>
        <v>7</v>
      </c>
      <c r="Q12" s="57">
        <f t="shared" si="6"/>
        <v>8</v>
      </c>
    </row>
    <row r="13" spans="2:17" ht="10.5" hidden="1" outlineLevel="2">
      <c r="B13" s="60" t="s">
        <v>388</v>
      </c>
      <c r="C13" s="20"/>
      <c r="D13" s="20"/>
      <c r="E13" s="20"/>
      <c r="F13" s="20"/>
      <c r="G13" s="20"/>
      <c r="H13" s="20"/>
      <c r="I13" s="20"/>
      <c r="J13" s="61" t="str">
        <f>J10&amp;"-"&amp;J11</f>
        <v>2010-Year </v>
      </c>
      <c r="K13" s="61" t="str">
        <f aca="true" t="shared" si="7" ref="K13:Q13">K10&amp;"-"&amp;K11</f>
        <v>2011-Year </v>
      </c>
      <c r="L13" s="61" t="str">
        <f t="shared" si="7"/>
        <v>2012-Year </v>
      </c>
      <c r="M13" s="61" t="str">
        <f t="shared" si="7"/>
        <v>2013-Year </v>
      </c>
      <c r="N13" s="61" t="str">
        <f t="shared" si="7"/>
        <v>2014-Year </v>
      </c>
      <c r="O13" s="61" t="str">
        <f t="shared" si="7"/>
        <v>2015-Year </v>
      </c>
      <c r="P13" s="61" t="str">
        <f t="shared" si="7"/>
        <v>2016-Year </v>
      </c>
      <c r="Q13" s="61" t="str">
        <f t="shared" si="7"/>
        <v>2017-Year </v>
      </c>
    </row>
    <row r="14" ht="10.5" collapsed="1"/>
    <row r="15" ht="10.5"/>
    <row r="16" ht="12.75" customHeight="1">
      <c r="B16" s="113" t="s">
        <v>402</v>
      </c>
    </row>
    <row r="17" spans="10:11" ht="11.25" thickBot="1">
      <c r="J17" s="167" t="s">
        <v>393</v>
      </c>
      <c r="K17" s="168" t="s">
        <v>470</v>
      </c>
    </row>
    <row r="18" spans="3:17" ht="10.5">
      <c r="C18" s="67" t="s">
        <v>226</v>
      </c>
      <c r="J18" s="66">
        <v>125</v>
      </c>
      <c r="K18" s="65">
        <v>0.025</v>
      </c>
      <c r="L18" s="64">
        <v>0.025</v>
      </c>
      <c r="M18" s="64">
        <v>0.025</v>
      </c>
      <c r="N18" s="64">
        <v>0.025</v>
      </c>
      <c r="O18" s="64">
        <v>0.025</v>
      </c>
      <c r="P18" s="64">
        <v>0.025</v>
      </c>
      <c r="Q18" s="64">
        <v>0.025</v>
      </c>
    </row>
    <row r="19" spans="3:17" ht="10.5">
      <c r="C19" s="67" t="s">
        <v>469</v>
      </c>
      <c r="J19" s="66">
        <v>25</v>
      </c>
      <c r="K19" s="65">
        <v>0.025</v>
      </c>
      <c r="L19" s="64">
        <v>0.025</v>
      </c>
      <c r="M19" s="64">
        <v>0.025</v>
      </c>
      <c r="N19" s="64">
        <v>0.025</v>
      </c>
      <c r="O19" s="64">
        <v>0.025</v>
      </c>
      <c r="P19" s="64">
        <v>0.025</v>
      </c>
      <c r="Q19" s="64">
        <v>0.025</v>
      </c>
    </row>
    <row r="20" spans="3:17" ht="10.5">
      <c r="C20" s="67" t="s">
        <v>238</v>
      </c>
      <c r="J20" s="66">
        <v>40</v>
      </c>
      <c r="K20" s="65">
        <v>0.025</v>
      </c>
      <c r="L20" s="64">
        <v>0.025</v>
      </c>
      <c r="M20" s="64">
        <v>0.025</v>
      </c>
      <c r="N20" s="64">
        <v>0.025</v>
      </c>
      <c r="O20" s="64">
        <v>0.025</v>
      </c>
      <c r="P20" s="64">
        <v>0.025</v>
      </c>
      <c r="Q20" s="64">
        <v>0.025</v>
      </c>
    </row>
    <row r="21" spans="3:17" ht="10.5">
      <c r="C21" s="67" t="s">
        <v>478</v>
      </c>
      <c r="J21" s="66">
        <v>15</v>
      </c>
      <c r="K21" s="65">
        <v>0.025</v>
      </c>
      <c r="L21" s="64">
        <v>0.025</v>
      </c>
      <c r="M21" s="64">
        <v>0.025</v>
      </c>
      <c r="N21" s="64">
        <v>0.025</v>
      </c>
      <c r="O21" s="64">
        <v>0.025</v>
      </c>
      <c r="P21" s="64">
        <v>0.025</v>
      </c>
      <c r="Q21" s="64">
        <v>0.025</v>
      </c>
    </row>
    <row r="22" spans="3:17" ht="10.5">
      <c r="C22" s="67" t="s">
        <v>479</v>
      </c>
      <c r="J22" s="66">
        <v>2.5</v>
      </c>
      <c r="K22" s="65">
        <v>0.025</v>
      </c>
      <c r="L22" s="64">
        <v>0.025</v>
      </c>
      <c r="M22" s="64">
        <v>0.025</v>
      </c>
      <c r="N22" s="64">
        <v>0.025</v>
      </c>
      <c r="O22" s="64">
        <v>0.025</v>
      </c>
      <c r="P22" s="64">
        <v>0.025</v>
      </c>
      <c r="Q22" s="64">
        <v>0.025</v>
      </c>
    </row>
    <row r="23" ht="10.5"/>
    <row r="24" ht="10.5">
      <c r="C24" s="63" t="s">
        <v>204</v>
      </c>
    </row>
    <row r="25" spans="3:4" ht="10.5">
      <c r="C25" s="83">
        <v>1</v>
      </c>
      <c r="D25" s="131" t="str">
        <f>"Revenue and expense base amount assumptions are specified in "&amp;INDEX(LU_Denom,DD_TS_Denom)&amp;"."</f>
        <v>Revenue and expense base amount assumptions are specified in $Millions.</v>
      </c>
    </row>
    <row r="26" spans="3:4" ht="10.5">
      <c r="C26" s="83">
        <v>2</v>
      </c>
      <c r="D26" s="67" t="s">
        <v>473</v>
      </c>
    </row>
    <row r="27" ht="10.5"/>
    <row r="28" ht="10.5"/>
    <row r="29" ht="12.75">
      <c r="B29" s="113" t="s">
        <v>403</v>
      </c>
    </row>
    <row r="30" spans="9:10" ht="11.25" thickBot="1">
      <c r="I30" s="167" t="s">
        <v>471</v>
      </c>
      <c r="J30" s="63" t="s">
        <v>472</v>
      </c>
    </row>
    <row r="31" spans="3:17" ht="10.5">
      <c r="C31" s="67" t="s">
        <v>300</v>
      </c>
      <c r="I31" s="66">
        <v>21</v>
      </c>
      <c r="J31" s="84">
        <v>30</v>
      </c>
      <c r="K31" s="84">
        <v>30</v>
      </c>
      <c r="L31" s="84">
        <v>30</v>
      </c>
      <c r="M31" s="84">
        <v>30</v>
      </c>
      <c r="N31" s="84">
        <v>30</v>
      </c>
      <c r="O31" s="84">
        <v>30</v>
      </c>
      <c r="P31" s="84">
        <v>30</v>
      </c>
      <c r="Q31" s="84">
        <v>30</v>
      </c>
    </row>
    <row r="32" spans="3:17" ht="10.5">
      <c r="C32" s="67" t="s">
        <v>301</v>
      </c>
      <c r="I32" s="66">
        <v>16</v>
      </c>
      <c r="J32" s="84">
        <v>45</v>
      </c>
      <c r="K32" s="84">
        <v>45</v>
      </c>
      <c r="L32" s="84">
        <v>45</v>
      </c>
      <c r="M32" s="84">
        <v>45</v>
      </c>
      <c r="N32" s="84">
        <v>45</v>
      </c>
      <c r="O32" s="84">
        <v>45</v>
      </c>
      <c r="P32" s="84">
        <v>45</v>
      </c>
      <c r="Q32" s="84">
        <v>45</v>
      </c>
    </row>
    <row r="33" ht="10.5"/>
    <row r="34" spans="3:17" ht="10.5">
      <c r="C34" s="67" t="s">
        <v>541</v>
      </c>
      <c r="I34" s="188">
        <f>IF(ISERROR(SUM(J34:Q34)),1,MIN(SUM(J34:Q34),1))</f>
        <v>0</v>
      </c>
      <c r="J34" s="189">
        <f>IF(ISERROR(SUM(J31:J32)),1,IF(MAX(J31:J32)&gt;J$9-J$8+1,1,0))</f>
        <v>0</v>
      </c>
      <c r="K34" s="189">
        <f aca="true" t="shared" si="8" ref="K34:Q34">IF(ISERROR(SUM(K31:K32)),1,IF(MAX(K31:K32)&gt;K$9-K$8+1,1,0))</f>
        <v>0</v>
      </c>
      <c r="L34" s="189">
        <f t="shared" si="8"/>
        <v>0</v>
      </c>
      <c r="M34" s="189">
        <f t="shared" si="8"/>
        <v>0</v>
      </c>
      <c r="N34" s="189">
        <f t="shared" si="8"/>
        <v>0</v>
      </c>
      <c r="O34" s="189">
        <f t="shared" si="8"/>
        <v>0</v>
      </c>
      <c r="P34" s="189">
        <f t="shared" si="8"/>
        <v>0</v>
      </c>
      <c r="Q34" s="189">
        <f t="shared" si="8"/>
        <v>0</v>
      </c>
    </row>
    <row r="35" ht="10.5"/>
    <row r="36" ht="10.5">
      <c r="C36" s="63" t="s">
        <v>204</v>
      </c>
    </row>
    <row r="37" spans="3:4" ht="10.5">
      <c r="C37" s="83">
        <v>1</v>
      </c>
      <c r="D37" s="131" t="str">
        <f>"Opening balance assumptions are specified in "&amp;INDEX(LU_Denom,DD_TS_Denom)&amp;"."</f>
        <v>Opening balance assumptions are specified in $Millions.</v>
      </c>
    </row>
    <row r="38" spans="3:4" ht="10.5">
      <c r="C38" s="83">
        <v>2</v>
      </c>
      <c r="D38" s="67" t="s">
        <v>474</v>
      </c>
    </row>
    <row r="39" ht="10.5"/>
    <row r="40" ht="10.5"/>
    <row r="41" ht="12.75">
      <c r="B41" s="113" t="s">
        <v>404</v>
      </c>
    </row>
    <row r="42" spans="9:10" ht="11.25" thickBot="1">
      <c r="I42" s="167" t="s">
        <v>471</v>
      </c>
      <c r="J42" s="168" t="s">
        <v>476</v>
      </c>
    </row>
    <row r="43" spans="3:17" ht="10.5">
      <c r="C43" s="67" t="s">
        <v>461</v>
      </c>
      <c r="I43" s="66">
        <v>145</v>
      </c>
      <c r="J43" s="65">
        <v>0.9</v>
      </c>
      <c r="K43" s="64">
        <v>0.9</v>
      </c>
      <c r="L43" s="64">
        <v>0.9</v>
      </c>
      <c r="M43" s="64">
        <v>0.9</v>
      </c>
      <c r="N43" s="64">
        <v>0.9</v>
      </c>
      <c r="O43" s="64">
        <v>0.9</v>
      </c>
      <c r="P43" s="64">
        <v>0.9</v>
      </c>
      <c r="Q43" s="64">
        <v>0.9</v>
      </c>
    </row>
    <row r="44" spans="3:17" ht="10.5">
      <c r="C44" s="67" t="s">
        <v>475</v>
      </c>
      <c r="I44" s="66">
        <v>11.5</v>
      </c>
      <c r="J44" s="65">
        <v>0.25</v>
      </c>
      <c r="K44" s="65">
        <v>0.25</v>
      </c>
      <c r="L44" s="65">
        <v>0.25</v>
      </c>
      <c r="M44" s="65">
        <v>0.25</v>
      </c>
      <c r="N44" s="65">
        <v>0.25</v>
      </c>
      <c r="O44" s="65">
        <v>0.25</v>
      </c>
      <c r="P44" s="65">
        <v>0.25</v>
      </c>
      <c r="Q44" s="65">
        <v>0.25</v>
      </c>
    </row>
    <row r="46" ht="10.5">
      <c r="C46" s="63" t="s">
        <v>204</v>
      </c>
    </row>
    <row r="47" spans="3:4" ht="10.5">
      <c r="C47" s="83">
        <v>1</v>
      </c>
      <c r="D47" s="131" t="str">
        <f>"Opening balance assumptions are specified in "&amp;INDEX(LU_Denom,DD_TS_Denom)&amp;"."</f>
        <v>Opening balance assumptions are specified in $Millions.</v>
      </c>
    </row>
    <row r="48" spans="3:4" ht="10.5">
      <c r="C48" s="83"/>
      <c r="D48" s="131"/>
    </row>
    <row r="50" ht="12.75">
      <c r="B50" s="113" t="s">
        <v>405</v>
      </c>
    </row>
    <row r="52" ht="11.25">
      <c r="C52" s="62" t="s">
        <v>417</v>
      </c>
    </row>
    <row r="54" ht="10.5">
      <c r="D54" s="135" t="str">
        <f>"Funds Drawn ("&amp;INDEX(LU_Denom,DD_TS_Denom)&amp;")"</f>
        <v>Funds Drawn ($Millions)</v>
      </c>
    </row>
    <row r="56" spans="5:17" ht="10.5">
      <c r="E56" s="67" t="s">
        <v>247</v>
      </c>
      <c r="J56" s="115">
        <v>50</v>
      </c>
      <c r="K56" s="85">
        <f>Fcast_TO!K95</f>
        <v>50</v>
      </c>
      <c r="L56" s="85">
        <f>Fcast_TO!L95</f>
        <v>50</v>
      </c>
      <c r="M56" s="85">
        <f>Fcast_TO!M95</f>
        <v>50</v>
      </c>
      <c r="N56" s="85">
        <f>Fcast_TO!N95</f>
        <v>50</v>
      </c>
      <c r="O56" s="85">
        <f>Fcast_TO!O95</f>
        <v>55</v>
      </c>
      <c r="P56" s="85">
        <f>Fcast_TO!P95</f>
        <v>55</v>
      </c>
      <c r="Q56" s="85">
        <f>Fcast_TO!Q95</f>
        <v>55</v>
      </c>
    </row>
    <row r="57" spans="5:17" ht="10.5">
      <c r="E57" s="67" t="s">
        <v>248</v>
      </c>
      <c r="J57" s="115">
        <v>0</v>
      </c>
      <c r="K57" s="115">
        <v>0</v>
      </c>
      <c r="L57" s="115">
        <v>0</v>
      </c>
      <c r="M57" s="115">
        <v>0</v>
      </c>
      <c r="N57" s="115">
        <v>50</v>
      </c>
      <c r="O57" s="115">
        <v>0</v>
      </c>
      <c r="P57" s="115">
        <v>0</v>
      </c>
      <c r="Q57" s="115">
        <v>0</v>
      </c>
    </row>
    <row r="58" spans="5:17" ht="10.5">
      <c r="E58" s="67" t="s">
        <v>249</v>
      </c>
      <c r="J58" s="115">
        <v>0</v>
      </c>
      <c r="K58" s="115">
        <v>0</v>
      </c>
      <c r="L58" s="115">
        <v>0</v>
      </c>
      <c r="M58" s="115">
        <v>0</v>
      </c>
      <c r="N58" s="115">
        <v>45</v>
      </c>
      <c r="O58" s="115">
        <v>0</v>
      </c>
      <c r="P58" s="115">
        <v>0</v>
      </c>
      <c r="Q58" s="115">
        <v>0</v>
      </c>
    </row>
    <row r="59" spans="5:17" ht="10.5">
      <c r="E59" s="63" t="s">
        <v>250</v>
      </c>
      <c r="J59" s="130">
        <f>Fcast_TO!J98</f>
        <v>50</v>
      </c>
      <c r="K59" s="130">
        <f>Fcast_TO!K98</f>
        <v>50</v>
      </c>
      <c r="L59" s="130">
        <f>Fcast_TO!L98</f>
        <v>50</v>
      </c>
      <c r="M59" s="130">
        <f>Fcast_TO!M98</f>
        <v>50</v>
      </c>
      <c r="N59" s="130">
        <f>Fcast_TO!N98</f>
        <v>55</v>
      </c>
      <c r="O59" s="130">
        <f>Fcast_TO!O98</f>
        <v>55</v>
      </c>
      <c r="P59" s="130">
        <f>Fcast_TO!P98</f>
        <v>55</v>
      </c>
      <c r="Q59" s="130">
        <f>Fcast_TO!Q98</f>
        <v>55</v>
      </c>
    </row>
    <row r="61" spans="5:17" ht="10.5">
      <c r="E61" s="67" t="s">
        <v>251</v>
      </c>
      <c r="J61" s="64">
        <v>0.5</v>
      </c>
      <c r="K61" s="64">
        <v>0.5</v>
      </c>
      <c r="L61" s="64">
        <v>0.5</v>
      </c>
      <c r="M61" s="64">
        <v>0.5</v>
      </c>
      <c r="N61" s="64">
        <v>0.5</v>
      </c>
      <c r="O61" s="64">
        <v>0.5</v>
      </c>
      <c r="P61" s="64">
        <v>0.5</v>
      </c>
      <c r="Q61" s="64">
        <v>0.5</v>
      </c>
    </row>
    <row r="63" ht="10.5">
      <c r="D63" s="63" t="s">
        <v>252</v>
      </c>
    </row>
    <row r="65" spans="5:10" ht="10.5">
      <c r="E65" s="67" t="s">
        <v>253</v>
      </c>
      <c r="J65" s="115">
        <v>0</v>
      </c>
    </row>
    <row r="67" spans="5:17" ht="10.5">
      <c r="E67" s="67" t="s">
        <v>254</v>
      </c>
      <c r="J67" s="133">
        <v>0.05</v>
      </c>
      <c r="K67" s="133">
        <v>0.05</v>
      </c>
      <c r="L67" s="133">
        <v>0.05</v>
      </c>
      <c r="M67" s="133">
        <v>0.05</v>
      </c>
      <c r="N67" s="133">
        <v>0.05</v>
      </c>
      <c r="O67" s="133">
        <v>0.05</v>
      </c>
      <c r="P67" s="133">
        <v>0.05</v>
      </c>
      <c r="Q67" s="133">
        <v>0.05</v>
      </c>
    </row>
    <row r="68" spans="5:17" ht="10.5">
      <c r="E68" s="67" t="s">
        <v>255</v>
      </c>
      <c r="J68" s="133">
        <v>0.015</v>
      </c>
      <c r="K68" s="133">
        <v>0.015</v>
      </c>
      <c r="L68" s="133">
        <v>0.015</v>
      </c>
      <c r="M68" s="133">
        <v>0.015</v>
      </c>
      <c r="N68" s="133">
        <v>0.015</v>
      </c>
      <c r="O68" s="133">
        <v>0.015</v>
      </c>
      <c r="P68" s="133">
        <v>0.015</v>
      </c>
      <c r="Q68" s="133">
        <v>0.015</v>
      </c>
    </row>
    <row r="69" spans="5:17" ht="10.5">
      <c r="E69" s="67" t="s">
        <v>256</v>
      </c>
      <c r="J69" s="134">
        <f aca="true" t="shared" si="9" ref="J69:Q69">SUM(J67:J68)</f>
        <v>0.065</v>
      </c>
      <c r="K69" s="134">
        <f t="shared" si="9"/>
        <v>0.065</v>
      </c>
      <c r="L69" s="134">
        <f t="shared" si="9"/>
        <v>0.065</v>
      </c>
      <c r="M69" s="134">
        <f t="shared" si="9"/>
        <v>0.065</v>
      </c>
      <c r="N69" s="134">
        <f t="shared" si="9"/>
        <v>0.065</v>
      </c>
      <c r="O69" s="134">
        <f t="shared" si="9"/>
        <v>0.065</v>
      </c>
      <c r="P69" s="134">
        <f t="shared" si="9"/>
        <v>0.065</v>
      </c>
      <c r="Q69" s="134">
        <f t="shared" si="9"/>
        <v>0.065</v>
      </c>
    </row>
    <row r="71" ht="11.25">
      <c r="C71" s="62" t="s">
        <v>418</v>
      </c>
    </row>
    <row r="73" ht="10.5">
      <c r="D73" s="135" t="str">
        <f>"Ordinary Equity Balances"&amp;" ("&amp;INDEX(LU_Denom,DD_TS_Denom)&amp;")"</f>
        <v>Ordinary Equity Balances ($Millions)</v>
      </c>
    </row>
    <row r="75" spans="5:17" ht="10.5">
      <c r="E75" s="67" t="s">
        <v>247</v>
      </c>
      <c r="J75" s="115">
        <v>75</v>
      </c>
      <c r="K75" s="85">
        <f>Fcast_TO!K121</f>
        <v>75</v>
      </c>
      <c r="L75" s="85">
        <f>Fcast_TO!L121</f>
        <v>75</v>
      </c>
      <c r="M75" s="85">
        <f>Fcast_TO!M121</f>
        <v>75</v>
      </c>
      <c r="N75" s="85">
        <f>Fcast_TO!N121</f>
        <v>75</v>
      </c>
      <c r="O75" s="85">
        <f>Fcast_TO!O121</f>
        <v>75</v>
      </c>
      <c r="P75" s="85">
        <f>Fcast_TO!P121</f>
        <v>75</v>
      </c>
      <c r="Q75" s="85">
        <f>Fcast_TO!Q121</f>
        <v>75</v>
      </c>
    </row>
    <row r="76" spans="5:17" ht="10.5">
      <c r="E76" s="67" t="s">
        <v>267</v>
      </c>
      <c r="J76" s="115">
        <v>0</v>
      </c>
      <c r="K76" s="115">
        <v>0</v>
      </c>
      <c r="L76" s="115">
        <v>0</v>
      </c>
      <c r="M76" s="115">
        <v>0</v>
      </c>
      <c r="N76" s="115">
        <v>0</v>
      </c>
      <c r="O76" s="115">
        <v>0</v>
      </c>
      <c r="P76" s="115">
        <v>0</v>
      </c>
      <c r="Q76" s="115">
        <v>0</v>
      </c>
    </row>
    <row r="77" spans="5:17" ht="10.5">
      <c r="E77" s="67" t="s">
        <v>268</v>
      </c>
      <c r="J77" s="115">
        <v>0</v>
      </c>
      <c r="K77" s="115">
        <v>0</v>
      </c>
      <c r="L77" s="115">
        <v>0</v>
      </c>
      <c r="M77" s="115">
        <v>0</v>
      </c>
      <c r="N77" s="115">
        <v>0</v>
      </c>
      <c r="O77" s="115">
        <v>0</v>
      </c>
      <c r="P77" s="115">
        <v>0</v>
      </c>
      <c r="Q77" s="115">
        <v>0</v>
      </c>
    </row>
    <row r="78" spans="5:17" ht="10.5">
      <c r="E78" s="63" t="s">
        <v>269</v>
      </c>
      <c r="J78" s="130">
        <f>Fcast_TO!J124</f>
        <v>75</v>
      </c>
      <c r="K78" s="130">
        <f>Fcast_TO!K124</f>
        <v>75</v>
      </c>
      <c r="L78" s="130">
        <f>Fcast_TO!L124</f>
        <v>75</v>
      </c>
      <c r="M78" s="130">
        <f>Fcast_TO!M124</f>
        <v>75</v>
      </c>
      <c r="N78" s="130">
        <f>Fcast_TO!N124</f>
        <v>75</v>
      </c>
      <c r="O78" s="130">
        <f>Fcast_TO!O124</f>
        <v>75</v>
      </c>
      <c r="P78" s="130">
        <f>Fcast_TO!P124</f>
        <v>75</v>
      </c>
      <c r="Q78" s="130">
        <f>Fcast_TO!Q124</f>
        <v>75</v>
      </c>
    </row>
    <row r="80" ht="10.5">
      <c r="D80" s="63" t="s">
        <v>270</v>
      </c>
    </row>
    <row r="82" spans="5:10" ht="10.5">
      <c r="E82" s="67" t="s">
        <v>247</v>
      </c>
      <c r="J82" s="115">
        <v>0</v>
      </c>
    </row>
    <row r="84" spans="5:10" ht="15.75" customHeight="1">
      <c r="E84" s="67" t="s">
        <v>271</v>
      </c>
      <c r="J84" s="82">
        <v>1</v>
      </c>
    </row>
    <row r="85" ht="10.5"/>
    <row r="86" spans="5:17" ht="10.5">
      <c r="E86" s="67" t="s">
        <v>272</v>
      </c>
      <c r="J86" s="138" t="s">
        <v>87</v>
      </c>
      <c r="K86" s="138" t="s">
        <v>87</v>
      </c>
      <c r="L86" s="138" t="s">
        <v>87</v>
      </c>
      <c r="M86" s="138" t="s">
        <v>87</v>
      </c>
      <c r="N86" s="138" t="s">
        <v>87</v>
      </c>
      <c r="O86" s="138" t="s">
        <v>87</v>
      </c>
      <c r="P86" s="138" t="s">
        <v>87</v>
      </c>
      <c r="Q86" s="138" t="s">
        <v>87</v>
      </c>
    </row>
    <row r="87" spans="5:17" ht="10.5">
      <c r="E87" s="131" t="str">
        <f>"Dividend Payout Ratio - "&amp;IF(DD_Eq_Ord_Div_Meth=1,INDEX(LU_Eq_Ord_Div_Meth,DD_Eq_Ord_Div_Meth),"Not Applied")</f>
        <v>Dividend Payout Ratio - % of NPAT</v>
      </c>
      <c r="J87" s="64">
        <v>0.5</v>
      </c>
      <c r="K87" s="64">
        <v>0.5</v>
      </c>
      <c r="L87" s="64">
        <v>0.5</v>
      </c>
      <c r="M87" s="64">
        <v>0.5</v>
      </c>
      <c r="N87" s="64">
        <v>0.5</v>
      </c>
      <c r="O87" s="64">
        <v>0.5</v>
      </c>
      <c r="P87" s="64">
        <v>0.5</v>
      </c>
      <c r="Q87" s="64">
        <v>0.5</v>
      </c>
    </row>
    <row r="88" spans="5:17" ht="10.5">
      <c r="E88" s="131" t="str">
        <f>"Assumed Dividends "&amp;IF(DD_Eq_Ord_Div_Meth=2,"("&amp;INDEX(LU_Denom,DD_TS_Denom)&amp;")","- Not Applied")</f>
        <v>Assumed Dividends - Not Applied</v>
      </c>
      <c r="J88" s="115">
        <v>0</v>
      </c>
      <c r="K88" s="115">
        <v>0</v>
      </c>
      <c r="L88" s="115">
        <v>0</v>
      </c>
      <c r="M88" s="115">
        <v>0</v>
      </c>
      <c r="N88" s="115">
        <v>0</v>
      </c>
      <c r="O88" s="115">
        <v>0</v>
      </c>
      <c r="P88" s="115">
        <v>0</v>
      </c>
      <c r="Q88" s="115">
        <v>0</v>
      </c>
    </row>
    <row r="90" ht="17.25" customHeight="1">
      <c r="E90" s="82" t="b">
        <v>0</v>
      </c>
    </row>
    <row r="91" ht="17.25" customHeight="1">
      <c r="E91" s="82" t="b">
        <v>0</v>
      </c>
    </row>
    <row r="92" ht="10.5"/>
    <row r="93" ht="10.5">
      <c r="D93" s="63" t="s">
        <v>204</v>
      </c>
    </row>
    <row r="94" spans="4:5" ht="10.5">
      <c r="D94" s="83">
        <v>1</v>
      </c>
      <c r="E94" s="67" t="s">
        <v>273</v>
      </c>
    </row>
    <row r="95" spans="4:5" ht="10.5">
      <c r="D95" s="83">
        <v>2</v>
      </c>
      <c r="E95" s="67" t="s">
        <v>274</v>
      </c>
    </row>
    <row r="98" ht="12.75">
      <c r="B98" s="113" t="s">
        <v>406</v>
      </c>
    </row>
    <row r="100" ht="11.25">
      <c r="C100" s="129" t="str">
        <f>"Tax Payable ("&amp;INDEX(LU_Denom,DD_TS_Denom)&amp;")"</f>
        <v>Tax Payable ($Millions)</v>
      </c>
    </row>
    <row r="102" spans="4:10" ht="10.5">
      <c r="D102" s="67" t="s">
        <v>1</v>
      </c>
      <c r="J102" s="115">
        <v>3.5</v>
      </c>
    </row>
    <row r="103" ht="10.5">
      <c r="D103" s="67"/>
    </row>
    <row r="104" ht="11.25">
      <c r="C104" s="62" t="s">
        <v>2</v>
      </c>
    </row>
    <row r="106" spans="4:10" ht="10.5">
      <c r="D106" s="67" t="s">
        <v>3</v>
      </c>
      <c r="J106" s="64">
        <v>0.3</v>
      </c>
    </row>
    <row r="108" ht="10.5">
      <c r="C108" s="63" t="s">
        <v>204</v>
      </c>
    </row>
    <row r="109" spans="3:4" ht="10.5">
      <c r="C109" s="83">
        <v>1</v>
      </c>
      <c r="D109" s="67" t="s">
        <v>487</v>
      </c>
    </row>
    <row r="110" spans="3:4" ht="10.5">
      <c r="C110" s="83">
        <v>2</v>
      </c>
      <c r="D110" s="67" t="s">
        <v>420</v>
      </c>
    </row>
    <row r="111" spans="3:12" ht="10.5" customHeight="1">
      <c r="C111" s="83">
        <v>3</v>
      </c>
      <c r="D111" s="250" t="s">
        <v>489</v>
      </c>
      <c r="E111" s="250"/>
      <c r="F111" s="250"/>
      <c r="G111" s="250"/>
      <c r="H111" s="250"/>
      <c r="I111" s="250"/>
      <c r="J111" s="250"/>
      <c r="K111" s="250"/>
      <c r="L111" s="114"/>
    </row>
    <row r="112" spans="4:12" ht="10.5">
      <c r="D112" s="250"/>
      <c r="E112" s="250"/>
      <c r="F112" s="250"/>
      <c r="G112" s="250"/>
      <c r="H112" s="250"/>
      <c r="I112" s="250"/>
      <c r="J112" s="250"/>
      <c r="K112" s="250"/>
      <c r="L112" s="114"/>
    </row>
    <row r="115" ht="12.75">
      <c r="B115" s="113" t="s">
        <v>539</v>
      </c>
    </row>
    <row r="117" ht="11.25">
      <c r="C117" s="129" t="str">
        <f>"Cash at Bank ("&amp;INDEX(LU_Denom,DD_TS_Denom)&amp;")"</f>
        <v>Cash at Bank ($Millions)</v>
      </c>
    </row>
    <row r="119" spans="4:10" ht="10.5">
      <c r="D119" s="67" t="s">
        <v>283</v>
      </c>
      <c r="J119" s="115">
        <v>15</v>
      </c>
    </row>
    <row r="121" ht="11.25">
      <c r="C121" s="129" t="str">
        <f>"Other Balance Sheet Items ("&amp;INDEX(LU_Denom,DD_TS_Denom)&amp;")"</f>
        <v>Other Balance Sheet Items ($Millions)</v>
      </c>
    </row>
    <row r="122" ht="11.25" thickBot="1">
      <c r="I122" s="167" t="s">
        <v>471</v>
      </c>
    </row>
    <row r="123" spans="4:17" ht="10.5">
      <c r="D123" s="67" t="s">
        <v>493</v>
      </c>
      <c r="I123" s="66">
        <v>2</v>
      </c>
      <c r="J123" s="115">
        <v>3</v>
      </c>
      <c r="K123" s="115">
        <v>4</v>
      </c>
      <c r="L123" s="115">
        <v>5</v>
      </c>
      <c r="M123" s="115">
        <v>6</v>
      </c>
      <c r="N123" s="115">
        <v>7</v>
      </c>
      <c r="O123" s="115">
        <v>8</v>
      </c>
      <c r="P123" s="115">
        <v>9</v>
      </c>
      <c r="Q123" s="115">
        <v>10</v>
      </c>
    </row>
    <row r="124" spans="4:17" ht="10.5">
      <c r="D124" s="67" t="s">
        <v>494</v>
      </c>
      <c r="I124" s="66">
        <v>3</v>
      </c>
      <c r="J124" s="115">
        <v>4</v>
      </c>
      <c r="K124" s="115">
        <v>5</v>
      </c>
      <c r="L124" s="115">
        <v>6</v>
      </c>
      <c r="M124" s="115">
        <v>7</v>
      </c>
      <c r="N124" s="115">
        <v>8</v>
      </c>
      <c r="O124" s="115">
        <v>9</v>
      </c>
      <c r="P124" s="115">
        <v>10</v>
      </c>
      <c r="Q124" s="115">
        <v>11</v>
      </c>
    </row>
    <row r="125" spans="4:17" ht="10.5">
      <c r="D125" s="67" t="s">
        <v>495</v>
      </c>
      <c r="I125" s="66">
        <v>4</v>
      </c>
      <c r="J125" s="115">
        <v>5</v>
      </c>
      <c r="K125" s="115">
        <v>6</v>
      </c>
      <c r="L125" s="115">
        <v>7</v>
      </c>
      <c r="M125" s="115">
        <v>8</v>
      </c>
      <c r="N125" s="115">
        <v>9</v>
      </c>
      <c r="O125" s="115">
        <v>10</v>
      </c>
      <c r="P125" s="115">
        <v>11</v>
      </c>
      <c r="Q125" s="115">
        <v>12</v>
      </c>
    </row>
    <row r="126" spans="4:17" ht="10.5">
      <c r="D126" s="67" t="s">
        <v>496</v>
      </c>
      <c r="I126" s="66">
        <v>5</v>
      </c>
      <c r="J126" s="115">
        <v>6</v>
      </c>
      <c r="K126" s="115">
        <v>7</v>
      </c>
      <c r="L126" s="115">
        <v>8</v>
      </c>
      <c r="M126" s="115">
        <v>9</v>
      </c>
      <c r="N126" s="115">
        <v>10</v>
      </c>
      <c r="O126" s="115">
        <v>11</v>
      </c>
      <c r="P126" s="115">
        <v>12</v>
      </c>
      <c r="Q126" s="115">
        <v>13</v>
      </c>
    </row>
    <row r="128" ht="10.5">
      <c r="D128" s="63" t="s">
        <v>204</v>
      </c>
    </row>
    <row r="129" spans="4:5" ht="10.5">
      <c r="D129" s="83">
        <v>1</v>
      </c>
      <c r="E129" s="131" t="str">
        <f>"Opening balance assumptions are specified in "&amp;INDEX(LU_Denom,DD_TS_Denom)&amp;"."</f>
        <v>Opening balance assumptions are specified in $Millions.</v>
      </c>
    </row>
    <row r="130" spans="4:5" ht="10.5">
      <c r="D130" s="83">
        <v>2</v>
      </c>
      <c r="E130" s="67" t="s">
        <v>499</v>
      </c>
    </row>
    <row r="131" spans="4:5" ht="10.5">
      <c r="D131" s="83">
        <v>3</v>
      </c>
      <c r="E131" s="67" t="s">
        <v>497</v>
      </c>
    </row>
    <row r="132" spans="4:5" ht="10.5">
      <c r="D132" s="83">
        <v>4</v>
      </c>
      <c r="E132" s="67"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5" t="s">
        <v>201</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5" t="s">
        <v>526</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519</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20" t="s">
        <v>399</v>
      </c>
    </row>
    <row r="18" spans="3:17" ht="10.5">
      <c r="C18" s="5" t="str">
        <f>Fcast_TA!C18</f>
        <v>Revenue</v>
      </c>
      <c r="J18" s="97">
        <f>IF(J$12=1,Fcast_TA!J18,I18*(1+Fcast_TA!J18))</f>
        <v>125</v>
      </c>
      <c r="K18" s="97">
        <f>IF(K$12=1,Fcast_TA!K18,J18*(1+Fcast_TA!K18))</f>
        <v>128.125</v>
      </c>
      <c r="L18" s="97">
        <f>IF(L$12=1,Fcast_TA!L18,K18*(1+Fcast_TA!L18))</f>
        <v>131.328125</v>
      </c>
      <c r="M18" s="97">
        <f>IF(M$12=1,Fcast_TA!M18,L18*(1+Fcast_TA!M18))</f>
        <v>134.611328125</v>
      </c>
      <c r="N18" s="97">
        <f>IF(N$12=1,Fcast_TA!N18,M18*(1+Fcast_TA!N18))</f>
        <v>137.976611328125</v>
      </c>
      <c r="O18" s="97">
        <f>IF(O$12=1,Fcast_TA!O18,N18*(1+Fcast_TA!O18))</f>
        <v>141.4260266113281</v>
      </c>
      <c r="P18" s="97">
        <f>IF(P$12=1,Fcast_TA!P18,O18*(1+Fcast_TA!P18))</f>
        <v>144.96167727661128</v>
      </c>
      <c r="Q18" s="97">
        <f>IF(Q$12=1,Fcast_TA!Q18,P18*(1+Fcast_TA!Q18))</f>
        <v>148.58571920852654</v>
      </c>
    </row>
    <row r="19" spans="3:17" ht="10.5">
      <c r="C19" s="5" t="str">
        <f>Fcast_TA!C19</f>
        <v>Cost of Goods Sold</v>
      </c>
      <c r="J19" s="97">
        <f>IF(J$12=1,Fcast_TA!J19,I19*(1+Fcast_TA!J19))</f>
        <v>25</v>
      </c>
      <c r="K19" s="97">
        <f>IF(K$12=1,Fcast_TA!K19,J19*(1+Fcast_TA!K19))</f>
        <v>25.624999999999996</v>
      </c>
      <c r="L19" s="97">
        <f>IF(L$12=1,Fcast_TA!L19,K19*(1+Fcast_TA!L19))</f>
        <v>26.265624999999993</v>
      </c>
      <c r="M19" s="97">
        <f>IF(M$12=1,Fcast_TA!M19,L19*(1+Fcast_TA!M19))</f>
        <v>26.92226562499999</v>
      </c>
      <c r="N19" s="97">
        <f>IF(N$12=1,Fcast_TA!N19,M19*(1+Fcast_TA!N19))</f>
        <v>27.59532226562499</v>
      </c>
      <c r="O19" s="97">
        <f>IF(O$12=1,Fcast_TA!O19,N19*(1+Fcast_TA!O19))</f>
        <v>28.28520532226561</v>
      </c>
      <c r="P19" s="97">
        <f>IF(P$12=1,Fcast_TA!P19,O19*(1+Fcast_TA!P19))</f>
        <v>28.992335455322248</v>
      </c>
      <c r="Q19" s="97">
        <f>IF(Q$12=1,Fcast_TA!Q19,P19*(1+Fcast_TA!Q19))</f>
        <v>29.7171438417053</v>
      </c>
    </row>
    <row r="20" spans="3:17" ht="10.5">
      <c r="C20" s="5" t="str">
        <f>Fcast_TA!C20</f>
        <v>Operating Expenditure</v>
      </c>
      <c r="J20" s="97">
        <f>IF(J$12=1,Fcast_TA!J20,I20*(1+Fcast_TA!J20))</f>
        <v>40</v>
      </c>
      <c r="K20" s="97">
        <f>IF(K$12=1,Fcast_TA!K20,J20*(1+Fcast_TA!K20))</f>
        <v>41</v>
      </c>
      <c r="L20" s="97">
        <f>IF(L$12=1,Fcast_TA!L20,K20*(1+Fcast_TA!L20))</f>
        <v>42.025</v>
      </c>
      <c r="M20" s="97">
        <f>IF(M$12=1,Fcast_TA!M20,L20*(1+Fcast_TA!M20))</f>
        <v>43.075624999999995</v>
      </c>
      <c r="N20" s="97">
        <f>IF(N$12=1,Fcast_TA!N20,M20*(1+Fcast_TA!N20))</f>
        <v>44.15251562499999</v>
      </c>
      <c r="O20" s="97">
        <f>IF(O$12=1,Fcast_TA!O20,N20*(1+Fcast_TA!O20))</f>
        <v>45.256328515624986</v>
      </c>
      <c r="P20" s="97">
        <f>IF(P$12=1,Fcast_TA!P20,O20*(1+Fcast_TA!P20))</f>
        <v>46.387736728515605</v>
      </c>
      <c r="Q20" s="97">
        <f>IF(Q$12=1,Fcast_TA!Q20,P20*(1+Fcast_TA!Q20))</f>
        <v>47.547430146728495</v>
      </c>
    </row>
    <row r="21" spans="3:17" ht="10.5">
      <c r="C21" s="5" t="str">
        <f>Fcast_TA!C21</f>
        <v>Capital Expenditure - Assets</v>
      </c>
      <c r="J21" s="97">
        <f>IF(J$12=1,Fcast_TA!J21,I21*(1+Fcast_TA!J21))</f>
        <v>15</v>
      </c>
      <c r="K21" s="97">
        <f>IF(K$12=1,Fcast_TA!K21,J21*(1+Fcast_TA!K21))</f>
        <v>15.374999999999998</v>
      </c>
      <c r="L21" s="97">
        <f>IF(L$12=1,Fcast_TA!L21,K21*(1+Fcast_TA!L21))</f>
        <v>15.759374999999997</v>
      </c>
      <c r="M21" s="97">
        <f>IF(M$12=1,Fcast_TA!M21,L21*(1+Fcast_TA!M21))</f>
        <v>16.153359374999994</v>
      </c>
      <c r="N21" s="97">
        <f>IF(N$12=1,Fcast_TA!N21,M21*(1+Fcast_TA!N21))</f>
        <v>16.557193359374992</v>
      </c>
      <c r="O21" s="97">
        <f>IF(O$12=1,Fcast_TA!O21,N21*(1+Fcast_TA!O21))</f>
        <v>16.971123193359364</v>
      </c>
      <c r="P21" s="97">
        <f>IF(P$12=1,Fcast_TA!P21,O21*(1+Fcast_TA!P21))</f>
        <v>17.395401273193347</v>
      </c>
      <c r="Q21" s="97">
        <f>IF(Q$12=1,Fcast_TA!Q21,P21*(1+Fcast_TA!Q21))</f>
        <v>17.83028630502318</v>
      </c>
    </row>
    <row r="22" spans="3:17" ht="10.5">
      <c r="C22" s="5" t="str">
        <f>Fcast_TA!C22</f>
        <v>Capital Expenditure - Intangibles</v>
      </c>
      <c r="J22" s="97">
        <f>IF(J$12=1,Fcast_TA!J22,I22*(1+Fcast_TA!J22))</f>
        <v>2.5</v>
      </c>
      <c r="K22" s="97">
        <f>IF(K$12=1,Fcast_TA!K22,J22*(1+Fcast_TA!K22))</f>
        <v>2.5625</v>
      </c>
      <c r="L22" s="97">
        <f>IF(L$12=1,Fcast_TA!L22,K22*(1+Fcast_TA!L22))</f>
        <v>2.6265625</v>
      </c>
      <c r="M22" s="97">
        <f>IF(M$12=1,Fcast_TA!M22,L22*(1+Fcast_TA!M22))</f>
        <v>2.6922265624999997</v>
      </c>
      <c r="N22" s="97">
        <f>IF(N$12=1,Fcast_TA!N22,M22*(1+Fcast_TA!N22))</f>
        <v>2.7595322265624995</v>
      </c>
      <c r="O22" s="97">
        <f>IF(O$12=1,Fcast_TA!O22,N22*(1+Fcast_TA!O22))</f>
        <v>2.8285205322265616</v>
      </c>
      <c r="P22" s="97">
        <f>IF(P$12=1,Fcast_TA!P22,O22*(1+Fcast_TA!P22))</f>
        <v>2.8992335455322253</v>
      </c>
      <c r="Q22" s="97">
        <f>IF(Q$12=1,Fcast_TA!Q22,P22*(1+Fcast_TA!Q22))</f>
        <v>2.971714384170531</v>
      </c>
    </row>
    <row r="23" spans="3:17" ht="10.5">
      <c r="C23" s="5"/>
      <c r="J23" s="97"/>
      <c r="K23" s="97"/>
      <c r="L23" s="97"/>
      <c r="M23" s="97"/>
      <c r="N23" s="97"/>
      <c r="O23" s="97"/>
      <c r="P23" s="97"/>
      <c r="Q23" s="97"/>
    </row>
    <row r="25" ht="12.75">
      <c r="B25" s="120" t="s">
        <v>413</v>
      </c>
    </row>
    <row r="26" ht="12.75">
      <c r="B26" s="21"/>
    </row>
    <row r="27" ht="11.25">
      <c r="C27" s="126" t="str">
        <f>"Accounts Receivable Balances ("&amp;INDEX(LU_Denom,DD_TS_Denom)&amp;")"</f>
        <v>Accounts Receivable Balances ($Millions)</v>
      </c>
    </row>
    <row r="29" spans="4:17" ht="10.5">
      <c r="D29" s="6" t="s">
        <v>247</v>
      </c>
      <c r="J29" s="97">
        <f>IF(J$12=1,Fcast_TA!$I$31,I33)</f>
        <v>21</v>
      </c>
      <c r="K29" s="97">
        <f>IF(K$12=1,Fcast_TA!$I$31,J33)</f>
        <v>10.273972602739725</v>
      </c>
      <c r="L29" s="97">
        <f>IF(L$12=1,Fcast_TA!$I$31,K33)</f>
        <v>10.530821917808218</v>
      </c>
      <c r="M29" s="97">
        <f>IF(M$12=1,Fcast_TA!$I$31,L33)</f>
        <v>10.764600409836065</v>
      </c>
      <c r="N29" s="97">
        <f>IF(N$12=1,Fcast_TA!$I$31,M33)</f>
        <v>11.06394477739726</v>
      </c>
      <c r="O29" s="97">
        <f>IF(O$12=1,Fcast_TA!$I$31,N33)</f>
        <v>11.340543396832192</v>
      </c>
      <c r="P29" s="97">
        <f>IF(P$12=1,Fcast_TA!$I$31,O33)</f>
        <v>11.624056981752995</v>
      </c>
      <c r="Q29" s="97">
        <f>IF(Q$12=1,Fcast_TA!$I$31,P33)</f>
        <v>11.882104694804204</v>
      </c>
    </row>
    <row r="30" spans="4:17" ht="10.5">
      <c r="D30" s="5" t="str">
        <f>C18</f>
        <v>Revenue</v>
      </c>
      <c r="J30" s="97">
        <f>J18</f>
        <v>125</v>
      </c>
      <c r="K30" s="97">
        <f aca="true" t="shared" si="8" ref="K30:Q30">K18</f>
        <v>128.125</v>
      </c>
      <c r="L30" s="97">
        <f t="shared" si="8"/>
        <v>131.328125</v>
      </c>
      <c r="M30" s="97">
        <f t="shared" si="8"/>
        <v>134.611328125</v>
      </c>
      <c r="N30" s="97">
        <f t="shared" si="8"/>
        <v>137.976611328125</v>
      </c>
      <c r="O30" s="97">
        <f t="shared" si="8"/>
        <v>141.4260266113281</v>
      </c>
      <c r="P30" s="97">
        <f t="shared" si="8"/>
        <v>144.96167727661128</v>
      </c>
      <c r="Q30" s="97">
        <f t="shared" si="8"/>
        <v>148.58571920852654</v>
      </c>
    </row>
    <row r="31" spans="4:17" s="19" customFormat="1" ht="10.5">
      <c r="D31" s="169" t="s">
        <v>240</v>
      </c>
      <c r="J31" s="122">
        <f aca="true" t="shared" si="9" ref="J31:Q31">J33-SUM(J29:J30)</f>
        <v>-135.72602739726028</v>
      </c>
      <c r="K31" s="190">
        <f>K33-SUM(K29:K30)+1</f>
        <v>-126.86815068493149</v>
      </c>
      <c r="L31" s="122">
        <f t="shared" si="9"/>
        <v>-131.09434650797215</v>
      </c>
      <c r="M31" s="122">
        <f t="shared" si="9"/>
        <v>-134.3119837574388</v>
      </c>
      <c r="N31" s="122">
        <f t="shared" si="9"/>
        <v>-137.70001270869005</v>
      </c>
      <c r="O31" s="122">
        <f t="shared" si="9"/>
        <v>-141.1425130264073</v>
      </c>
      <c r="P31" s="122">
        <f t="shared" si="9"/>
        <v>-144.70362956356007</v>
      </c>
      <c r="Q31" s="122">
        <f t="shared" si="9"/>
        <v>-148.25529903687652</v>
      </c>
    </row>
    <row r="32" spans="4:17" ht="10.5" hidden="1" outlineLevel="2">
      <c r="D32" s="170" t="s">
        <v>491</v>
      </c>
      <c r="J32" s="127">
        <f aca="true" t="shared" si="10" ref="J32:Q32">SUM(J30:J31)</f>
        <v>-10.726027397260282</v>
      </c>
      <c r="K32" s="127">
        <f t="shared" si="10"/>
        <v>1.2568493150685072</v>
      </c>
      <c r="L32" s="127">
        <f t="shared" si="10"/>
        <v>0.23377849202785228</v>
      </c>
      <c r="M32" s="127">
        <f t="shared" si="10"/>
        <v>0.29934436756119</v>
      </c>
      <c r="N32" s="127">
        <f t="shared" si="10"/>
        <v>0.27659861943493524</v>
      </c>
      <c r="O32" s="127">
        <f t="shared" si="10"/>
        <v>0.28351358492079726</v>
      </c>
      <c r="P32" s="127">
        <f t="shared" si="10"/>
        <v>0.2580477130512122</v>
      </c>
      <c r="Q32" s="127">
        <f t="shared" si="10"/>
        <v>0.3304201716500188</v>
      </c>
    </row>
    <row r="33" spans="4:17" ht="10.5" collapsed="1">
      <c r="D33" s="110" t="s">
        <v>411</v>
      </c>
      <c r="J33" s="128">
        <f>J30*J36/(J$9-J$8+1)</f>
        <v>10.273972602739725</v>
      </c>
      <c r="K33" s="128">
        <f aca="true" t="shared" si="11" ref="K33:Q33">K30*K36/(K$9-K$8+1)</f>
        <v>10.530821917808218</v>
      </c>
      <c r="L33" s="128">
        <f t="shared" si="11"/>
        <v>10.764600409836065</v>
      </c>
      <c r="M33" s="128">
        <f t="shared" si="11"/>
        <v>11.06394477739726</v>
      </c>
      <c r="N33" s="128">
        <f t="shared" si="11"/>
        <v>11.340543396832192</v>
      </c>
      <c r="O33" s="128">
        <f t="shared" si="11"/>
        <v>11.624056981752995</v>
      </c>
      <c r="P33" s="128">
        <f t="shared" si="11"/>
        <v>11.882104694804204</v>
      </c>
      <c r="Q33" s="128">
        <f t="shared" si="11"/>
        <v>12.212524866454237</v>
      </c>
    </row>
    <row r="35" spans="4:17" ht="10.5">
      <c r="D35" s="118" t="str">
        <f>"Closing Balance Periodic Growth (% per "&amp;INDEX(LU_Period_Type_Names,MATCH(TS_Periodicity,LU_Periodicity,0))&amp;")"</f>
        <v>Closing Balance Periodic Growth (% per Year)</v>
      </c>
      <c r="K35" s="186">
        <f aca="true" t="shared" si="12" ref="K35:Q35">IF(ISERROR(K33/J33),"N/A",ROUND(K33/J33-1,5))</f>
        <v>0.025</v>
      </c>
      <c r="L35" s="186">
        <f t="shared" si="12"/>
        <v>0.0222</v>
      </c>
      <c r="M35" s="186">
        <f t="shared" si="12"/>
        <v>0.02781</v>
      </c>
      <c r="N35" s="186">
        <f t="shared" si="12"/>
        <v>0.025</v>
      </c>
      <c r="O35" s="186">
        <f t="shared" si="12"/>
        <v>0.025</v>
      </c>
      <c r="P35" s="186">
        <f t="shared" si="12"/>
        <v>0.0222</v>
      </c>
      <c r="Q35" s="186">
        <f t="shared" si="12"/>
        <v>0.02781</v>
      </c>
    </row>
    <row r="36" spans="4:17" ht="10.5">
      <c r="D36" s="170" t="s">
        <v>409</v>
      </c>
      <c r="J36" s="116">
        <f>Fcast_TA!J31</f>
        <v>30</v>
      </c>
      <c r="K36" s="116">
        <f>Fcast_TA!K31</f>
        <v>30</v>
      </c>
      <c r="L36" s="116">
        <f>Fcast_TA!L31</f>
        <v>30</v>
      </c>
      <c r="M36" s="116">
        <f>Fcast_TA!M31</f>
        <v>30</v>
      </c>
      <c r="N36" s="116">
        <f>Fcast_TA!N31</f>
        <v>30</v>
      </c>
      <c r="O36" s="116">
        <f>Fcast_TA!O31</f>
        <v>30</v>
      </c>
      <c r="P36" s="116">
        <f>Fcast_TA!P31</f>
        <v>30</v>
      </c>
      <c r="Q36" s="116">
        <f>Fcast_TA!Q31</f>
        <v>30</v>
      </c>
    </row>
    <row r="38" spans="5:17" ht="10.5" hidden="1" outlineLevel="2">
      <c r="E38" s="6" t="s">
        <v>241</v>
      </c>
      <c r="J38" s="98">
        <f aca="true" t="shared" si="13" ref="J38:Q38">IF(ISERROR(J29+J32-J33),1,0)</f>
        <v>0</v>
      </c>
      <c r="K38" s="98">
        <f t="shared" si="13"/>
        <v>0</v>
      </c>
      <c r="L38" s="98">
        <f t="shared" si="13"/>
        <v>0</v>
      </c>
      <c r="M38" s="98">
        <f t="shared" si="13"/>
        <v>0</v>
      </c>
      <c r="N38" s="98">
        <f t="shared" si="13"/>
        <v>0</v>
      </c>
      <c r="O38" s="98">
        <f t="shared" si="13"/>
        <v>0</v>
      </c>
      <c r="P38" s="98">
        <f t="shared" si="13"/>
        <v>0</v>
      </c>
      <c r="Q38" s="98">
        <f t="shared" si="13"/>
        <v>0</v>
      </c>
    </row>
    <row r="39" spans="5:17" ht="10.5" hidden="1" outlineLevel="2">
      <c r="E39" s="6" t="s">
        <v>242</v>
      </c>
      <c r="J39" s="105">
        <f aca="true" t="shared" si="14" ref="J39:Q39">IF(J38&lt;&gt;0,0,(ROUND(J29+J32-J33,5)&lt;&gt;0)*1)</f>
        <v>0</v>
      </c>
      <c r="K39" s="105">
        <f t="shared" si="14"/>
        <v>1</v>
      </c>
      <c r="L39" s="105">
        <f t="shared" si="14"/>
        <v>0</v>
      </c>
      <c r="M39" s="105">
        <f t="shared" si="14"/>
        <v>0</v>
      </c>
      <c r="N39" s="105">
        <f t="shared" si="14"/>
        <v>0</v>
      </c>
      <c r="O39" s="105">
        <f t="shared" si="14"/>
        <v>0</v>
      </c>
      <c r="P39" s="105">
        <f t="shared" si="14"/>
        <v>0</v>
      </c>
      <c r="Q39" s="105">
        <f t="shared" si="14"/>
        <v>0</v>
      </c>
    </row>
    <row r="40" spans="5:17" ht="10.5" hidden="1" outlineLevel="2">
      <c r="E40" s="6" t="s">
        <v>243</v>
      </c>
      <c r="J40" s="105">
        <f aca="true" t="shared" si="15" ref="J40:Q40">IF(ISERROR(J31),0,(ROUND(MAX(J31),5)&gt;0)*1)</f>
        <v>0</v>
      </c>
      <c r="K40" s="105">
        <f t="shared" si="15"/>
        <v>0</v>
      </c>
      <c r="L40" s="105">
        <f t="shared" si="15"/>
        <v>0</v>
      </c>
      <c r="M40" s="105">
        <f t="shared" si="15"/>
        <v>0</v>
      </c>
      <c r="N40" s="105">
        <f t="shared" si="15"/>
        <v>0</v>
      </c>
      <c r="O40" s="105">
        <f t="shared" si="15"/>
        <v>0</v>
      </c>
      <c r="P40" s="105">
        <f t="shared" si="15"/>
        <v>0</v>
      </c>
      <c r="Q40" s="105">
        <f t="shared" si="15"/>
        <v>0</v>
      </c>
    </row>
    <row r="41" spans="5:17" ht="10.5" hidden="1" outlineLevel="2">
      <c r="E41" s="6" t="s">
        <v>244</v>
      </c>
      <c r="J41" s="125">
        <f aca="true" t="shared" si="16" ref="J41:Q41">IF(ISERROR(J33),0,(ROUND(MIN(J33),5)&lt;0)*1)</f>
        <v>0</v>
      </c>
      <c r="K41" s="125">
        <f t="shared" si="16"/>
        <v>0</v>
      </c>
      <c r="L41" s="125">
        <f t="shared" si="16"/>
        <v>0</v>
      </c>
      <c r="M41" s="125">
        <f t="shared" si="16"/>
        <v>0</v>
      </c>
      <c r="N41" s="125">
        <f t="shared" si="16"/>
        <v>0</v>
      </c>
      <c r="O41" s="125">
        <f t="shared" si="16"/>
        <v>0</v>
      </c>
      <c r="P41" s="125">
        <f t="shared" si="16"/>
        <v>0</v>
      </c>
      <c r="Q41" s="125">
        <f t="shared" si="16"/>
        <v>0</v>
      </c>
    </row>
    <row r="42" spans="4:17" ht="10.5" collapsed="1">
      <c r="D42" s="6" t="s">
        <v>412</v>
      </c>
      <c r="I42" s="101">
        <f>IF(ISERROR(SUM(J42:Q42)),0,MIN(SUM(J42:Q42),1))</f>
        <v>1</v>
      </c>
      <c r="J42" s="98">
        <f aca="true" t="shared" si="17" ref="J42:Q42">MIN(SUM(J38:J41),1)</f>
        <v>0</v>
      </c>
      <c r="K42" s="98">
        <f t="shared" si="17"/>
        <v>1</v>
      </c>
      <c r="L42" s="98">
        <f t="shared" si="17"/>
        <v>0</v>
      </c>
      <c r="M42" s="98">
        <f t="shared" si="17"/>
        <v>0</v>
      </c>
      <c r="N42" s="98">
        <f t="shared" si="17"/>
        <v>0</v>
      </c>
      <c r="O42" s="98">
        <f t="shared" si="17"/>
        <v>0</v>
      </c>
      <c r="P42" s="98">
        <f t="shared" si="17"/>
        <v>0</v>
      </c>
      <c r="Q42" s="98">
        <f t="shared" si="17"/>
        <v>0</v>
      </c>
    </row>
    <row r="44" ht="11.25">
      <c r="C44" s="126" t="str">
        <f>"Accounts Payable Balances ("&amp;INDEX(LU_Denom,DD_TS_Denom)&amp;")"</f>
        <v>Accounts Payable Balances ($Millions)</v>
      </c>
    </row>
    <row r="45" ht="11.25">
      <c r="C45" s="126"/>
    </row>
    <row r="46" spans="4:17" ht="10.5">
      <c r="D46" s="6" t="s">
        <v>247</v>
      </c>
      <c r="J46" s="97">
        <f>IF(J$12=1,Fcast_TA!$I$32,I50)</f>
        <v>16</v>
      </c>
      <c r="K46" s="97">
        <f>IF(K$12=1,Fcast_TA!$I$32,J50)</f>
        <v>8.013698630136986</v>
      </c>
      <c r="L46" s="97">
        <f>IF(L$12=1,Fcast_TA!$I$32,K50)</f>
        <v>8.21404109589041</v>
      </c>
      <c r="M46" s="97">
        <f>IF(M$12=1,Fcast_TA!$I$32,L50)</f>
        <v>8.39638831967213</v>
      </c>
      <c r="N46" s="97">
        <f>IF(N$12=1,Fcast_TA!$I$32,M50)</f>
        <v>8.629876926369862</v>
      </c>
      <c r="O46" s="97">
        <f>IF(O$12=1,Fcast_TA!$I$32,N50)</f>
        <v>8.845623849529108</v>
      </c>
      <c r="P46" s="97">
        <f>IF(P$12=1,Fcast_TA!$I$32,O50)</f>
        <v>9.066764445767335</v>
      </c>
      <c r="Q46" s="97">
        <f>IF(Q$12=1,Fcast_TA!$I$32,P50)</f>
        <v>9.268041661947276</v>
      </c>
    </row>
    <row r="47" spans="4:17" ht="10.5">
      <c r="D47" s="6" t="s">
        <v>477</v>
      </c>
      <c r="J47" s="97">
        <f>SUM(J19:J20)</f>
        <v>65</v>
      </c>
      <c r="K47" s="97">
        <f aca="true" t="shared" si="18" ref="K47:Q47">SUM(K19:K20)</f>
        <v>66.625</v>
      </c>
      <c r="L47" s="97">
        <f t="shared" si="18"/>
        <v>68.29062499999999</v>
      </c>
      <c r="M47" s="97">
        <f t="shared" si="18"/>
        <v>69.99789062499998</v>
      </c>
      <c r="N47" s="97">
        <f t="shared" si="18"/>
        <v>71.74783789062498</v>
      </c>
      <c r="O47" s="97">
        <f t="shared" si="18"/>
        <v>73.5415338378906</v>
      </c>
      <c r="P47" s="97">
        <f t="shared" si="18"/>
        <v>75.38007218383785</v>
      </c>
      <c r="Q47" s="97">
        <f t="shared" si="18"/>
        <v>77.2645739884338</v>
      </c>
    </row>
    <row r="48" spans="4:17" s="19" customFormat="1" ht="10.5">
      <c r="D48" s="169" t="s">
        <v>245</v>
      </c>
      <c r="J48" s="122">
        <f aca="true" t="shared" si="19" ref="J48:Q48">J50-SUM(J46:J47)</f>
        <v>-72.98630136986301</v>
      </c>
      <c r="K48" s="122">
        <f t="shared" si="19"/>
        <v>-66.42465753424658</v>
      </c>
      <c r="L48" s="122">
        <f t="shared" si="19"/>
        <v>-68.10827777621827</v>
      </c>
      <c r="M48" s="122">
        <f t="shared" si="19"/>
        <v>-69.76440201830225</v>
      </c>
      <c r="N48" s="122">
        <f t="shared" si="19"/>
        <v>-71.53209096746573</v>
      </c>
      <c r="O48" s="122">
        <f t="shared" si="19"/>
        <v>-73.32039324165237</v>
      </c>
      <c r="P48" s="122">
        <f t="shared" si="19"/>
        <v>-75.17879496765791</v>
      </c>
      <c r="Q48" s="122">
        <f t="shared" si="19"/>
        <v>-77.00684625454677</v>
      </c>
    </row>
    <row r="49" spans="4:17" ht="10.5" hidden="1" outlineLevel="2">
      <c r="D49" s="170" t="s">
        <v>492</v>
      </c>
      <c r="J49" s="127">
        <f aca="true" t="shared" si="20" ref="J49:Q49">SUM(J47:J48)</f>
        <v>-7.986301369863014</v>
      </c>
      <c r="K49" s="127">
        <f t="shared" si="20"/>
        <v>0.20034246575342252</v>
      </c>
      <c r="L49" s="127">
        <f t="shared" si="20"/>
        <v>0.18234722378171853</v>
      </c>
      <c r="M49" s="127">
        <f t="shared" si="20"/>
        <v>0.2334886066977333</v>
      </c>
      <c r="N49" s="127">
        <f t="shared" si="20"/>
        <v>0.21574692315924437</v>
      </c>
      <c r="O49" s="127">
        <f t="shared" si="20"/>
        <v>0.22114059623822868</v>
      </c>
      <c r="P49" s="127">
        <f t="shared" si="20"/>
        <v>0.2012772161799461</v>
      </c>
      <c r="Q49" s="127">
        <f t="shared" si="20"/>
        <v>0.2577277338870232</v>
      </c>
    </row>
    <row r="50" spans="4:17" ht="10.5" collapsed="1">
      <c r="D50" s="110" t="s">
        <v>411</v>
      </c>
      <c r="J50" s="128">
        <f>J47*J53/(J$9-J$8+1)</f>
        <v>8.013698630136986</v>
      </c>
      <c r="K50" s="128">
        <f aca="true" t="shared" si="21" ref="K50:Q50">K47*K53/(K$9-K$8+1)</f>
        <v>8.21404109589041</v>
      </c>
      <c r="L50" s="128">
        <f t="shared" si="21"/>
        <v>8.39638831967213</v>
      </c>
      <c r="M50" s="128">
        <f t="shared" si="21"/>
        <v>8.629876926369862</v>
      </c>
      <c r="N50" s="128">
        <f t="shared" si="21"/>
        <v>8.845623849529108</v>
      </c>
      <c r="O50" s="128">
        <f t="shared" si="21"/>
        <v>9.066764445767335</v>
      </c>
      <c r="P50" s="128">
        <f t="shared" si="21"/>
        <v>9.268041661947276</v>
      </c>
      <c r="Q50" s="128">
        <f t="shared" si="21"/>
        <v>9.525769395834304</v>
      </c>
    </row>
    <row r="52" spans="4:17" ht="10.5">
      <c r="D52" s="118" t="str">
        <f>"Closing Balance Periodic Growth (% per "&amp;INDEX(LU_Period_Type_Names,MATCH(TS_Periodicity,LU_Periodicity,0))&amp;")"</f>
        <v>Closing Balance Periodic Growth (% per Year)</v>
      </c>
      <c r="K52" s="186">
        <f aca="true" t="shared" si="22" ref="K52:Q52">IF(ISERROR(K50/J50),"N/A",ROUND(K50/J50-1,5))</f>
        <v>0.025</v>
      </c>
      <c r="L52" s="186">
        <f t="shared" si="22"/>
        <v>0.0222</v>
      </c>
      <c r="M52" s="186">
        <f t="shared" si="22"/>
        <v>0.02781</v>
      </c>
      <c r="N52" s="186">
        <f t="shared" si="22"/>
        <v>0.025</v>
      </c>
      <c r="O52" s="186">
        <f t="shared" si="22"/>
        <v>0.025</v>
      </c>
      <c r="P52" s="186">
        <f t="shared" si="22"/>
        <v>0.0222</v>
      </c>
      <c r="Q52" s="186">
        <f t="shared" si="22"/>
        <v>0.02781</v>
      </c>
    </row>
    <row r="53" spans="4:17" ht="10.5">
      <c r="D53" s="170" t="s">
        <v>410</v>
      </c>
      <c r="J53" s="116">
        <f>Fcast_TA!J32</f>
        <v>45</v>
      </c>
      <c r="K53" s="116">
        <f>Fcast_TA!K32</f>
        <v>45</v>
      </c>
      <c r="L53" s="116">
        <f>Fcast_TA!L32</f>
        <v>45</v>
      </c>
      <c r="M53" s="116">
        <f>Fcast_TA!M32</f>
        <v>45</v>
      </c>
      <c r="N53" s="116">
        <f>Fcast_TA!N32</f>
        <v>45</v>
      </c>
      <c r="O53" s="116">
        <f>Fcast_TA!O32</f>
        <v>45</v>
      </c>
      <c r="P53" s="116">
        <f>Fcast_TA!P32</f>
        <v>45</v>
      </c>
      <c r="Q53" s="116">
        <f>Fcast_TA!Q32</f>
        <v>45</v>
      </c>
    </row>
    <row r="55" spans="5:17" ht="10.5" hidden="1" outlineLevel="2">
      <c r="E55" s="6" t="s">
        <v>241</v>
      </c>
      <c r="J55" s="98">
        <f aca="true" t="shared" si="23" ref="J55:Q55">IF(ISERROR(J46+J49-J50),1,0)</f>
        <v>0</v>
      </c>
      <c r="K55" s="98">
        <f t="shared" si="23"/>
        <v>0</v>
      </c>
      <c r="L55" s="98">
        <f t="shared" si="23"/>
        <v>0</v>
      </c>
      <c r="M55" s="98">
        <f t="shared" si="23"/>
        <v>0</v>
      </c>
      <c r="N55" s="98">
        <f t="shared" si="23"/>
        <v>0</v>
      </c>
      <c r="O55" s="98">
        <f t="shared" si="23"/>
        <v>0</v>
      </c>
      <c r="P55" s="98">
        <f t="shared" si="23"/>
        <v>0</v>
      </c>
      <c r="Q55" s="98">
        <f t="shared" si="23"/>
        <v>0</v>
      </c>
    </row>
    <row r="56" spans="5:17" ht="10.5" hidden="1" outlineLevel="2">
      <c r="E56" s="6" t="s">
        <v>242</v>
      </c>
      <c r="J56" s="105">
        <f aca="true" t="shared" si="24" ref="J56:Q56">IF(J55&lt;&gt;0,0,(ROUND(J46+J49-J50,5)&lt;&gt;0)*1)</f>
        <v>0</v>
      </c>
      <c r="K56" s="105">
        <f t="shared" si="24"/>
        <v>0</v>
      </c>
      <c r="L56" s="105">
        <f t="shared" si="24"/>
        <v>0</v>
      </c>
      <c r="M56" s="105">
        <f t="shared" si="24"/>
        <v>0</v>
      </c>
      <c r="N56" s="105">
        <f t="shared" si="24"/>
        <v>0</v>
      </c>
      <c r="O56" s="105">
        <f t="shared" si="24"/>
        <v>0</v>
      </c>
      <c r="P56" s="105">
        <f t="shared" si="24"/>
        <v>0</v>
      </c>
      <c r="Q56" s="105">
        <f t="shared" si="24"/>
        <v>0</v>
      </c>
    </row>
    <row r="57" spans="5:17" ht="10.5" hidden="1" outlineLevel="2">
      <c r="E57" s="6" t="s">
        <v>246</v>
      </c>
      <c r="J57" s="105">
        <f aca="true" t="shared" si="25" ref="J57:Q57">IF(ISERROR(J48),0,(ROUND(MAX(J48),5)&gt;0)*1)</f>
        <v>0</v>
      </c>
      <c r="K57" s="105">
        <f t="shared" si="25"/>
        <v>0</v>
      </c>
      <c r="L57" s="105">
        <f t="shared" si="25"/>
        <v>0</v>
      </c>
      <c r="M57" s="105">
        <f t="shared" si="25"/>
        <v>0</v>
      </c>
      <c r="N57" s="105">
        <f t="shared" si="25"/>
        <v>0</v>
      </c>
      <c r="O57" s="105">
        <f t="shared" si="25"/>
        <v>0</v>
      </c>
      <c r="P57" s="105">
        <f t="shared" si="25"/>
        <v>0</v>
      </c>
      <c r="Q57" s="105">
        <f t="shared" si="25"/>
        <v>0</v>
      </c>
    </row>
    <row r="58" spans="5:17" ht="10.5" hidden="1" outlineLevel="2">
      <c r="E58" s="6" t="s">
        <v>244</v>
      </c>
      <c r="J58" s="125">
        <f aca="true" t="shared" si="26" ref="J58:Q58">IF(ISERROR(J50),0,(ROUND(MIN(J50),5)&lt;0)*1)</f>
        <v>0</v>
      </c>
      <c r="K58" s="125">
        <f t="shared" si="26"/>
        <v>0</v>
      </c>
      <c r="L58" s="125">
        <f t="shared" si="26"/>
        <v>0</v>
      </c>
      <c r="M58" s="125">
        <f t="shared" si="26"/>
        <v>0</v>
      </c>
      <c r="N58" s="125">
        <f t="shared" si="26"/>
        <v>0</v>
      </c>
      <c r="O58" s="125">
        <f t="shared" si="26"/>
        <v>0</v>
      </c>
      <c r="P58" s="125">
        <f t="shared" si="26"/>
        <v>0</v>
      </c>
      <c r="Q58" s="125">
        <f t="shared" si="26"/>
        <v>0</v>
      </c>
    </row>
    <row r="59" spans="4:17" ht="10.5" collapsed="1">
      <c r="D59" s="6" t="s">
        <v>412</v>
      </c>
      <c r="I59" s="101">
        <f>IF(ISERROR(SUM(J59:Q59)),0,MIN(SUM(J59:Q59),1))</f>
        <v>0</v>
      </c>
      <c r="J59" s="98">
        <f aca="true" t="shared" si="27" ref="J59:Q59">MIN(SUM(J55:J58),1)</f>
        <v>0</v>
      </c>
      <c r="K59" s="98">
        <f t="shared" si="27"/>
        <v>0</v>
      </c>
      <c r="L59" s="98">
        <f t="shared" si="27"/>
        <v>0</v>
      </c>
      <c r="M59" s="98">
        <f t="shared" si="27"/>
        <v>0</v>
      </c>
      <c r="N59" s="98">
        <f t="shared" si="27"/>
        <v>0</v>
      </c>
      <c r="O59" s="98">
        <f t="shared" si="27"/>
        <v>0</v>
      </c>
      <c r="P59" s="98">
        <f t="shared" si="27"/>
        <v>0</v>
      </c>
      <c r="Q59" s="98">
        <f t="shared" si="27"/>
        <v>0</v>
      </c>
    </row>
    <row r="62" ht="12.75">
      <c r="B62" s="120" t="s">
        <v>400</v>
      </c>
    </row>
    <row r="64" ht="11.25">
      <c r="C64" s="126" t="str">
        <f>"Assets Balances ("&amp;INDEX(LU_Denom,DD_TS_Denom)&amp;")"</f>
        <v>Assets Balances ($Millions)</v>
      </c>
    </row>
    <row r="66" spans="4:17" ht="10.5">
      <c r="D66" s="6" t="s">
        <v>247</v>
      </c>
      <c r="J66" s="97">
        <f>IF(J$12=1,Fcast_TA!$I$43,I70)</f>
        <v>145</v>
      </c>
      <c r="K66" s="97">
        <f>IF(K$12=1,Fcast_TA!$I$43,J70)</f>
        <v>146.5</v>
      </c>
      <c r="L66" s="97">
        <f>IF(L$12=1,Fcast_TA!$I$43,K70)</f>
        <v>148.0375</v>
      </c>
      <c r="M66" s="97">
        <f>IF(M$12=1,Fcast_TA!$I$43,L70)</f>
        <v>149.6134375</v>
      </c>
      <c r="N66" s="97">
        <f>IF(N$12=1,Fcast_TA!$I$43,M70)</f>
        <v>151.22877343750002</v>
      </c>
      <c r="O66" s="97">
        <f>IF(O$12=1,Fcast_TA!$I$43,N70)</f>
        <v>152.88449277343753</v>
      </c>
      <c r="P66" s="97">
        <f>IF(P$12=1,Fcast_TA!$I$43,O70)</f>
        <v>154.5816050927735</v>
      </c>
      <c r="Q66" s="97">
        <f>IF(Q$12=1,Fcast_TA!$I$43,P70)</f>
        <v>156.32114522009283</v>
      </c>
    </row>
    <row r="67" spans="4:17" ht="10.5">
      <c r="D67" s="5" t="str">
        <f>C21</f>
        <v>Capital Expenditure - Assets</v>
      </c>
      <c r="J67" s="97">
        <f>J21</f>
        <v>15</v>
      </c>
      <c r="K67" s="97">
        <f aca="true" t="shared" si="28" ref="K67:Q67">K21</f>
        <v>15.374999999999998</v>
      </c>
      <c r="L67" s="97">
        <f t="shared" si="28"/>
        <v>15.759374999999997</v>
      </c>
      <c r="M67" s="97">
        <f t="shared" si="28"/>
        <v>16.153359374999994</v>
      </c>
      <c r="N67" s="97">
        <f t="shared" si="28"/>
        <v>16.557193359374992</v>
      </c>
      <c r="O67" s="97">
        <f t="shared" si="28"/>
        <v>16.971123193359364</v>
      </c>
      <c r="P67" s="97">
        <f t="shared" si="28"/>
        <v>17.395401273193347</v>
      </c>
      <c r="Q67" s="97">
        <f t="shared" si="28"/>
        <v>17.83028630502318</v>
      </c>
    </row>
    <row r="68" spans="4:17" ht="10.5" hidden="1" outlineLevel="2">
      <c r="D68" s="6" t="s">
        <v>480</v>
      </c>
      <c r="J68" s="119">
        <f>Fcast_TA!J43</f>
        <v>0.9</v>
      </c>
      <c r="K68" s="119">
        <f>Fcast_TA!K43</f>
        <v>0.9</v>
      </c>
      <c r="L68" s="119">
        <f>Fcast_TA!L43</f>
        <v>0.9</v>
      </c>
      <c r="M68" s="119">
        <f>Fcast_TA!M43</f>
        <v>0.9</v>
      </c>
      <c r="N68" s="119">
        <f>Fcast_TA!N43</f>
        <v>0.9</v>
      </c>
      <c r="O68" s="119">
        <f>Fcast_TA!O43</f>
        <v>0.9</v>
      </c>
      <c r="P68" s="119">
        <f>Fcast_TA!P43</f>
        <v>0.9</v>
      </c>
      <c r="Q68" s="119">
        <f>Fcast_TA!Q43</f>
        <v>0.9</v>
      </c>
    </row>
    <row r="69" spans="4:17" s="19" customFormat="1" ht="10.5" collapsed="1">
      <c r="D69" s="169" t="s">
        <v>415</v>
      </c>
      <c r="J69" s="122">
        <f>-J67*J68</f>
        <v>-13.5</v>
      </c>
      <c r="K69" s="122">
        <f aca="true" t="shared" si="29" ref="K69:Q69">-K67*K68</f>
        <v>-13.837499999999999</v>
      </c>
      <c r="L69" s="122">
        <f t="shared" si="29"/>
        <v>-14.183437499999997</v>
      </c>
      <c r="M69" s="122">
        <f t="shared" si="29"/>
        <v>-14.538023437499994</v>
      </c>
      <c r="N69" s="122">
        <f t="shared" si="29"/>
        <v>-14.901474023437492</v>
      </c>
      <c r="O69" s="122">
        <f t="shared" si="29"/>
        <v>-15.274010874023428</v>
      </c>
      <c r="P69" s="122">
        <f t="shared" si="29"/>
        <v>-15.655861145874013</v>
      </c>
      <c r="Q69" s="122">
        <f t="shared" si="29"/>
        <v>-16.04725767452086</v>
      </c>
    </row>
    <row r="70" spans="4:17" ht="10.5">
      <c r="D70" s="110" t="s">
        <v>411</v>
      </c>
      <c r="J70" s="128">
        <f>J66+J67+J69</f>
        <v>146.5</v>
      </c>
      <c r="K70" s="128">
        <f aca="true" t="shared" si="30" ref="K70:Q70">K66+K67+K69</f>
        <v>148.0375</v>
      </c>
      <c r="L70" s="128">
        <f t="shared" si="30"/>
        <v>149.6134375</v>
      </c>
      <c r="M70" s="128">
        <f t="shared" si="30"/>
        <v>151.22877343750002</v>
      </c>
      <c r="N70" s="128">
        <f t="shared" si="30"/>
        <v>152.88449277343753</v>
      </c>
      <c r="O70" s="128">
        <f t="shared" si="30"/>
        <v>154.5816050927735</v>
      </c>
      <c r="P70" s="128">
        <f t="shared" si="30"/>
        <v>156.32114522009283</v>
      </c>
      <c r="Q70" s="128">
        <f t="shared" si="30"/>
        <v>158.10417385059515</v>
      </c>
    </row>
    <row r="72" spans="5:17" ht="10.5" hidden="1" outlineLevel="2">
      <c r="E72" s="6" t="s">
        <v>241</v>
      </c>
      <c r="J72" s="98">
        <f>IF(ISERROR(J70-(J66+J67+J69)),1,0)</f>
        <v>0</v>
      </c>
      <c r="K72" s="98">
        <f aca="true" t="shared" si="31" ref="K72:Q72">IF(ISERROR(K70-(K66+K67+K69)),1,0)</f>
        <v>0</v>
      </c>
      <c r="L72" s="98">
        <f t="shared" si="31"/>
        <v>0</v>
      </c>
      <c r="M72" s="98">
        <f t="shared" si="31"/>
        <v>0</v>
      </c>
      <c r="N72" s="98">
        <f t="shared" si="31"/>
        <v>0</v>
      </c>
      <c r="O72" s="98">
        <f t="shared" si="31"/>
        <v>0</v>
      </c>
      <c r="P72" s="98">
        <f t="shared" si="31"/>
        <v>0</v>
      </c>
      <c r="Q72" s="98">
        <f t="shared" si="31"/>
        <v>0</v>
      </c>
    </row>
    <row r="73" spans="5:17" ht="10.5" hidden="1" outlineLevel="2">
      <c r="E73" s="6" t="s">
        <v>242</v>
      </c>
      <c r="J73" s="125">
        <f>IF(J72&lt;&gt;0,0,(ROUND(J70-(J66+J67+J69),5)&lt;&gt;0)*1)</f>
        <v>0</v>
      </c>
      <c r="K73" s="125">
        <f aca="true" t="shared" si="32" ref="K73:Q73">IF(K72&lt;&gt;0,0,(ROUND(K70-(K66+K67+K69),5)&lt;&gt;0)*1)</f>
        <v>0</v>
      </c>
      <c r="L73" s="125">
        <f t="shared" si="32"/>
        <v>0</v>
      </c>
      <c r="M73" s="125">
        <f t="shared" si="32"/>
        <v>0</v>
      </c>
      <c r="N73" s="125">
        <f t="shared" si="32"/>
        <v>0</v>
      </c>
      <c r="O73" s="125">
        <f t="shared" si="32"/>
        <v>0</v>
      </c>
      <c r="P73" s="125">
        <f t="shared" si="32"/>
        <v>0</v>
      </c>
      <c r="Q73" s="125">
        <f t="shared" si="32"/>
        <v>0</v>
      </c>
    </row>
    <row r="74" spans="4:17" ht="10.5" collapsed="1">
      <c r="D74" s="6" t="s">
        <v>412</v>
      </c>
      <c r="I74" s="101">
        <f>IF(ISERROR(SUM(J74:Q74)),0,MIN(SUM(J74:Q74),1))</f>
        <v>0</v>
      </c>
      <c r="J74" s="98">
        <f>MIN(SUM(J72:J73),1)</f>
        <v>0</v>
      </c>
      <c r="K74" s="98">
        <f aca="true" t="shared" si="33" ref="K74:Q74">MIN(SUM(K72:K73),1)</f>
        <v>0</v>
      </c>
      <c r="L74" s="98">
        <f t="shared" si="33"/>
        <v>0</v>
      </c>
      <c r="M74" s="98">
        <f t="shared" si="33"/>
        <v>0</v>
      </c>
      <c r="N74" s="98">
        <f t="shared" si="33"/>
        <v>0</v>
      </c>
      <c r="O74" s="98">
        <f t="shared" si="33"/>
        <v>0</v>
      </c>
      <c r="P74" s="98">
        <f t="shared" si="33"/>
        <v>0</v>
      </c>
      <c r="Q74" s="98">
        <f t="shared" si="33"/>
        <v>0</v>
      </c>
    </row>
    <row r="76" ht="11.25">
      <c r="C76" s="126" t="str">
        <f>"Intangibles Balances ("&amp;INDEX(LU_Denom,DD_TS_Denom)&amp;")"</f>
        <v>Intangibles Balances ($Millions)</v>
      </c>
    </row>
    <row r="78" spans="4:17" ht="10.5">
      <c r="D78" s="6" t="s">
        <v>247</v>
      </c>
      <c r="J78" s="97">
        <f>IF(J$12=1,Fcast_TA!$I$44,I82)</f>
        <v>11.5</v>
      </c>
      <c r="K78" s="97">
        <f>IF(K$12=1,Fcast_TA!$I$44,J82)</f>
        <v>13.375</v>
      </c>
      <c r="L78" s="97">
        <f>IF(L$12=1,Fcast_TA!$I$44,K82)</f>
        <v>15.296875</v>
      </c>
      <c r="M78" s="97">
        <f>IF(M$12=1,Fcast_TA!$I$44,L82)</f>
        <v>17.266796874999997</v>
      </c>
      <c r="N78" s="97">
        <f>IF(N$12=1,Fcast_TA!$I$44,M82)</f>
        <v>19.285966796874998</v>
      </c>
      <c r="O78" s="97">
        <f>IF(O$12=1,Fcast_TA!$I$44,N82)</f>
        <v>21.355615966796872</v>
      </c>
      <c r="P78" s="97">
        <f>IF(P$12=1,Fcast_TA!$I$44,O82)</f>
        <v>23.477006365966794</v>
      </c>
      <c r="Q78" s="97">
        <f>IF(Q$12=1,Fcast_TA!$I$44,P82)</f>
        <v>25.651431525115964</v>
      </c>
    </row>
    <row r="79" spans="4:17" ht="10.5">
      <c r="D79" s="5" t="str">
        <f>C22</f>
        <v>Capital Expenditure - Intangibles</v>
      </c>
      <c r="J79" s="97">
        <f>J22</f>
        <v>2.5</v>
      </c>
      <c r="K79" s="97">
        <f aca="true" t="shared" si="34" ref="K79:Q79">K22</f>
        <v>2.5625</v>
      </c>
      <c r="L79" s="97">
        <f t="shared" si="34"/>
        <v>2.6265625</v>
      </c>
      <c r="M79" s="97">
        <f t="shared" si="34"/>
        <v>2.6922265624999997</v>
      </c>
      <c r="N79" s="97">
        <f t="shared" si="34"/>
        <v>2.7595322265624995</v>
      </c>
      <c r="O79" s="97">
        <f t="shared" si="34"/>
        <v>2.8285205322265616</v>
      </c>
      <c r="P79" s="97">
        <f t="shared" si="34"/>
        <v>2.8992335455322253</v>
      </c>
      <c r="Q79" s="97">
        <f t="shared" si="34"/>
        <v>2.971714384170531</v>
      </c>
    </row>
    <row r="80" spans="4:17" ht="10.5" hidden="1" outlineLevel="2">
      <c r="D80" s="6" t="s">
        <v>481</v>
      </c>
      <c r="J80" s="119">
        <f>Fcast_TA!J44</f>
        <v>0.25</v>
      </c>
      <c r="K80" s="119">
        <f>Fcast_TA!K44</f>
        <v>0.25</v>
      </c>
      <c r="L80" s="119">
        <f>Fcast_TA!L44</f>
        <v>0.25</v>
      </c>
      <c r="M80" s="119">
        <f>Fcast_TA!M44</f>
        <v>0.25</v>
      </c>
      <c r="N80" s="119">
        <f>Fcast_TA!N44</f>
        <v>0.25</v>
      </c>
      <c r="O80" s="119">
        <f>Fcast_TA!O44</f>
        <v>0.25</v>
      </c>
      <c r="P80" s="119">
        <f>Fcast_TA!P44</f>
        <v>0.25</v>
      </c>
      <c r="Q80" s="119">
        <f>Fcast_TA!Q44</f>
        <v>0.25</v>
      </c>
    </row>
    <row r="81" spans="4:17" s="19" customFormat="1" ht="10.5" collapsed="1">
      <c r="D81" s="169" t="s">
        <v>482</v>
      </c>
      <c r="J81" s="122">
        <f aca="true" t="shared" si="35" ref="J81:Q81">-J79*J80</f>
        <v>-0.625</v>
      </c>
      <c r="K81" s="122">
        <f t="shared" si="35"/>
        <v>-0.640625</v>
      </c>
      <c r="L81" s="122">
        <f t="shared" si="35"/>
        <v>-0.656640625</v>
      </c>
      <c r="M81" s="122">
        <f t="shared" si="35"/>
        <v>-0.6730566406249999</v>
      </c>
      <c r="N81" s="122">
        <f t="shared" si="35"/>
        <v>-0.6898830566406249</v>
      </c>
      <c r="O81" s="122">
        <f t="shared" si="35"/>
        <v>-0.7071301330566404</v>
      </c>
      <c r="P81" s="122">
        <f t="shared" si="35"/>
        <v>-0.7248083863830563</v>
      </c>
      <c r="Q81" s="122">
        <f t="shared" si="35"/>
        <v>-0.7429285960426327</v>
      </c>
    </row>
    <row r="82" spans="4:17" ht="10.5">
      <c r="D82" s="110" t="s">
        <v>411</v>
      </c>
      <c r="J82" s="128">
        <f aca="true" t="shared" si="36" ref="J82:Q82">J78+J79+J81</f>
        <v>13.375</v>
      </c>
      <c r="K82" s="128">
        <f t="shared" si="36"/>
        <v>15.296875</v>
      </c>
      <c r="L82" s="128">
        <f t="shared" si="36"/>
        <v>17.266796874999997</v>
      </c>
      <c r="M82" s="128">
        <f t="shared" si="36"/>
        <v>19.285966796874998</v>
      </c>
      <c r="N82" s="128">
        <f t="shared" si="36"/>
        <v>21.355615966796872</v>
      </c>
      <c r="O82" s="128">
        <f t="shared" si="36"/>
        <v>23.477006365966794</v>
      </c>
      <c r="P82" s="128">
        <f t="shared" si="36"/>
        <v>25.651431525115964</v>
      </c>
      <c r="Q82" s="128">
        <f t="shared" si="36"/>
        <v>27.880217313243865</v>
      </c>
    </row>
    <row r="84" spans="5:17" ht="10.5" hidden="1" outlineLevel="2">
      <c r="E84" s="6" t="s">
        <v>241</v>
      </c>
      <c r="J84" s="98">
        <f>IF(ISERROR(J82-(J78+J79+J81)),1,0)</f>
        <v>0</v>
      </c>
      <c r="K84" s="98">
        <f aca="true" t="shared" si="37" ref="K84:Q84">IF(ISERROR(K82-(K78+K79+K81)),1,0)</f>
        <v>0</v>
      </c>
      <c r="L84" s="98">
        <f t="shared" si="37"/>
        <v>0</v>
      </c>
      <c r="M84" s="98">
        <f t="shared" si="37"/>
        <v>0</v>
      </c>
      <c r="N84" s="98">
        <f t="shared" si="37"/>
        <v>0</v>
      </c>
      <c r="O84" s="98">
        <f t="shared" si="37"/>
        <v>0</v>
      </c>
      <c r="P84" s="98">
        <f t="shared" si="37"/>
        <v>0</v>
      </c>
      <c r="Q84" s="98">
        <f t="shared" si="37"/>
        <v>0</v>
      </c>
    </row>
    <row r="85" spans="5:17" ht="10.5" hidden="1" outlineLevel="2">
      <c r="E85" s="6" t="s">
        <v>242</v>
      </c>
      <c r="J85" s="125">
        <f aca="true" t="shared" si="38" ref="J85:Q85">IF(J84&lt;&gt;0,0,(ROUND(J82-(J78+J79+J81),5)&lt;&gt;0)*1)</f>
        <v>0</v>
      </c>
      <c r="K85" s="125">
        <f t="shared" si="38"/>
        <v>0</v>
      </c>
      <c r="L85" s="125">
        <f t="shared" si="38"/>
        <v>0</v>
      </c>
      <c r="M85" s="125">
        <f t="shared" si="38"/>
        <v>0</v>
      </c>
      <c r="N85" s="125">
        <f t="shared" si="38"/>
        <v>0</v>
      </c>
      <c r="O85" s="125">
        <f t="shared" si="38"/>
        <v>0</v>
      </c>
      <c r="P85" s="125">
        <f t="shared" si="38"/>
        <v>0</v>
      </c>
      <c r="Q85" s="125">
        <f t="shared" si="38"/>
        <v>0</v>
      </c>
    </row>
    <row r="86" spans="4:17" ht="10.5" collapsed="1">
      <c r="D86" s="6" t="s">
        <v>412</v>
      </c>
      <c r="I86" s="101">
        <f>IF(ISERROR(SUM(J86:Q86)),0,MIN(SUM(J86:Q86),1))</f>
        <v>0</v>
      </c>
      <c r="J86" s="98">
        <f aca="true" t="shared" si="39" ref="J86:Q86">MIN(SUM(J84:J85),1)</f>
        <v>0</v>
      </c>
      <c r="K86" s="98">
        <f t="shared" si="39"/>
        <v>0</v>
      </c>
      <c r="L86" s="98">
        <f t="shared" si="39"/>
        <v>0</v>
      </c>
      <c r="M86" s="98">
        <f t="shared" si="39"/>
        <v>0</v>
      </c>
      <c r="N86" s="98">
        <f t="shared" si="39"/>
        <v>0</v>
      </c>
      <c r="O86" s="98">
        <f t="shared" si="39"/>
        <v>0</v>
      </c>
      <c r="P86" s="98">
        <f t="shared" si="39"/>
        <v>0</v>
      </c>
      <c r="Q86" s="98">
        <f t="shared" si="39"/>
        <v>0</v>
      </c>
    </row>
    <row r="89" ht="12.75">
      <c r="B89" s="120" t="s">
        <v>401</v>
      </c>
    </row>
    <row r="91" ht="11.25">
      <c r="C91" s="96" t="s">
        <v>486</v>
      </c>
    </row>
    <row r="92" ht="11.25">
      <c r="C92" s="96"/>
    </row>
    <row r="93" ht="10.5">
      <c r="D93" s="4" t="str">
        <f>Fcast_TA!$D$54</f>
        <v>Funds Drawn ($Millions)</v>
      </c>
    </row>
    <row r="95" spans="5:17" ht="10.5">
      <c r="E95" s="5" t="str">
        <f>Fcast_TA!E56</f>
        <v>Opening Balance</v>
      </c>
      <c r="J95" s="97">
        <f>IF(J$12=1,Fcast_TA!$J$56,I98)</f>
        <v>50</v>
      </c>
      <c r="K95" s="97">
        <f>IF(K$12=1,Fcast_TA!$J$56,J98)</f>
        <v>50</v>
      </c>
      <c r="L95" s="97">
        <f>IF(L$12=1,Fcast_TA!$J$56,K98)</f>
        <v>50</v>
      </c>
      <c r="M95" s="97">
        <f>IF(M$12=1,Fcast_TA!$J$56,L98)</f>
        <v>50</v>
      </c>
      <c r="N95" s="97">
        <f>IF(N$12=1,Fcast_TA!$J$56,M98)</f>
        <v>50</v>
      </c>
      <c r="O95" s="97">
        <f>IF(O$12=1,Fcast_TA!$J$56,N98)</f>
        <v>55</v>
      </c>
      <c r="P95" s="97">
        <f>IF(P$12=1,Fcast_TA!$J$56,O98)</f>
        <v>55</v>
      </c>
      <c r="Q95" s="97">
        <f>IF(Q$12=1,Fcast_TA!$J$56,P98)</f>
        <v>55</v>
      </c>
    </row>
    <row r="96" spans="5:17" ht="10.5">
      <c r="E96" s="5" t="str">
        <f>Fcast_TA!E57</f>
        <v>Debt Drawdowns</v>
      </c>
      <c r="J96" s="97">
        <f>Fcast_TA!J57</f>
        <v>0</v>
      </c>
      <c r="K96" s="97">
        <f>Fcast_TA!K57</f>
        <v>0</v>
      </c>
      <c r="L96" s="97">
        <f>Fcast_TA!L57</f>
        <v>0</v>
      </c>
      <c r="M96" s="97">
        <f>Fcast_TA!M57</f>
        <v>0</v>
      </c>
      <c r="N96" s="97">
        <f>Fcast_TA!N57</f>
        <v>50</v>
      </c>
      <c r="O96" s="97">
        <f>Fcast_TA!O57</f>
        <v>0</v>
      </c>
      <c r="P96" s="97">
        <f>Fcast_TA!P57</f>
        <v>0</v>
      </c>
      <c r="Q96" s="97">
        <f>Fcast_TA!Q57</f>
        <v>0</v>
      </c>
    </row>
    <row r="97" spans="5:17" ht="10.5">
      <c r="E97" s="5" t="str">
        <f>Fcast_TA!E58</f>
        <v>Debt Repayments</v>
      </c>
      <c r="J97" s="99">
        <f>-Fcast_TA!J58</f>
        <v>0</v>
      </c>
      <c r="K97" s="99">
        <f>-Fcast_TA!K58</f>
        <v>0</v>
      </c>
      <c r="L97" s="99">
        <f>-Fcast_TA!L58</f>
        <v>0</v>
      </c>
      <c r="M97" s="99">
        <f>-Fcast_TA!M58</f>
        <v>0</v>
      </c>
      <c r="N97" s="99">
        <f>-Fcast_TA!N58</f>
        <v>-45</v>
      </c>
      <c r="O97" s="99">
        <f>-Fcast_TA!O58</f>
        <v>0</v>
      </c>
      <c r="P97" s="99">
        <f>-Fcast_TA!P58</f>
        <v>0</v>
      </c>
      <c r="Q97" s="99">
        <f>-Fcast_TA!Q58</f>
        <v>0</v>
      </c>
    </row>
    <row r="98" spans="5:17" ht="10.5">
      <c r="E98" s="4" t="str">
        <f>Fcast_TA!E59</f>
        <v>Closing Debt Balance</v>
      </c>
      <c r="J98" s="100">
        <f>SUM(J95:J97)</f>
        <v>50</v>
      </c>
      <c r="K98" s="100">
        <f aca="true" t="shared" si="40" ref="K98:Q98">SUM(K95:K97)</f>
        <v>50</v>
      </c>
      <c r="L98" s="100">
        <f t="shared" si="40"/>
        <v>50</v>
      </c>
      <c r="M98" s="100">
        <f t="shared" si="40"/>
        <v>50</v>
      </c>
      <c r="N98" s="100">
        <f t="shared" si="40"/>
        <v>55</v>
      </c>
      <c r="O98" s="100">
        <f t="shared" si="40"/>
        <v>55</v>
      </c>
      <c r="P98" s="100">
        <f t="shared" si="40"/>
        <v>55</v>
      </c>
      <c r="Q98" s="100">
        <f t="shared" si="40"/>
        <v>55</v>
      </c>
    </row>
    <row r="100" ht="10.5">
      <c r="D100" s="4" t="str">
        <f>Fcast_TA!$D$63</f>
        <v>Interest Expense</v>
      </c>
    </row>
    <row r="102" spans="5:17" ht="10.5">
      <c r="E102" s="5" t="str">
        <f>Fcast_TA!E67</f>
        <v>Base Interest Rate (% p.a.)</v>
      </c>
      <c r="J102" s="132">
        <f>Fcast_TA!J67</f>
        <v>0.05</v>
      </c>
      <c r="K102" s="132">
        <f>Fcast_TA!K67</f>
        <v>0.05</v>
      </c>
      <c r="L102" s="132">
        <f>Fcast_TA!L67</f>
        <v>0.05</v>
      </c>
      <c r="M102" s="132">
        <f>Fcast_TA!M67</f>
        <v>0.05</v>
      </c>
      <c r="N102" s="132">
        <f>Fcast_TA!N67</f>
        <v>0.05</v>
      </c>
      <c r="O102" s="132">
        <f>Fcast_TA!O67</f>
        <v>0.05</v>
      </c>
      <c r="P102" s="132">
        <f>Fcast_TA!P67</f>
        <v>0.05</v>
      </c>
      <c r="Q102" s="132">
        <f>Fcast_TA!Q67</f>
        <v>0.05</v>
      </c>
    </row>
    <row r="103" spans="5:17" ht="10.5">
      <c r="E103" s="5" t="str">
        <f>Fcast_TA!E68</f>
        <v>Margin (% p.a.)</v>
      </c>
      <c r="J103" s="132">
        <f>Fcast_TA!J68</f>
        <v>0.015</v>
      </c>
      <c r="K103" s="132">
        <f>Fcast_TA!K68</f>
        <v>0.015</v>
      </c>
      <c r="L103" s="132">
        <f>Fcast_TA!L68</f>
        <v>0.015</v>
      </c>
      <c r="M103" s="132">
        <f>Fcast_TA!M68</f>
        <v>0.015</v>
      </c>
      <c r="N103" s="132">
        <f>Fcast_TA!N68</f>
        <v>0.015</v>
      </c>
      <c r="O103" s="132">
        <f>Fcast_TA!O68</f>
        <v>0.015</v>
      </c>
      <c r="P103" s="132">
        <f>Fcast_TA!P68</f>
        <v>0.015</v>
      </c>
      <c r="Q103" s="132">
        <f>Fcast_TA!Q68</f>
        <v>0.015</v>
      </c>
    </row>
    <row r="104" spans="5:17" ht="10.5">
      <c r="E104" s="5" t="str">
        <f>Fcast_TA!E69</f>
        <v>All-In Interest Rate (% p.a.)</v>
      </c>
      <c r="J104" s="136">
        <f>SUM(J102:J103)</f>
        <v>0.065</v>
      </c>
      <c r="K104" s="136">
        <f aca="true" t="shared" si="41" ref="K104:Q104">SUM(K102:K103)</f>
        <v>0.065</v>
      </c>
      <c r="L104" s="136">
        <f t="shared" si="41"/>
        <v>0.065</v>
      </c>
      <c r="M104" s="136">
        <f t="shared" si="41"/>
        <v>0.065</v>
      </c>
      <c r="N104" s="136">
        <f t="shared" si="41"/>
        <v>0.065</v>
      </c>
      <c r="O104" s="136">
        <f t="shared" si="41"/>
        <v>0.065</v>
      </c>
      <c r="P104" s="136">
        <f t="shared" si="41"/>
        <v>0.065</v>
      </c>
      <c r="Q104" s="136">
        <f t="shared" si="41"/>
        <v>0.065</v>
      </c>
    </row>
    <row r="106" spans="5:17" ht="10.5">
      <c r="E106" s="117" t="str">
        <f>Mth_Name&amp;"s in "&amp;CHOOSE(MATCH(TS_Periodicity,LU_Periodicity,0),"Financial "&amp;Yr_Name,Half_Yr_Name,Qtr_Name,Mth_Name)</f>
        <v>Months in Financial Year</v>
      </c>
      <c r="J106" s="142">
        <f aca="true" t="shared" si="42" ref="J106:Q106">Mths_In_Yr/INDEX(LU_Pers_In_Yr,MATCH(TS_Periodicity,LU_Periodicity,0))</f>
        <v>12</v>
      </c>
      <c r="K106" s="142">
        <f t="shared" si="42"/>
        <v>12</v>
      </c>
      <c r="L106" s="142">
        <f t="shared" si="42"/>
        <v>12</v>
      </c>
      <c r="M106" s="142">
        <f t="shared" si="42"/>
        <v>12</v>
      </c>
      <c r="N106" s="142">
        <f t="shared" si="42"/>
        <v>12</v>
      </c>
      <c r="O106" s="142">
        <f t="shared" si="42"/>
        <v>12</v>
      </c>
      <c r="P106" s="142">
        <f t="shared" si="42"/>
        <v>12</v>
      </c>
      <c r="Q106" s="142">
        <f t="shared" si="42"/>
        <v>12</v>
      </c>
    </row>
    <row r="107" spans="5:17" ht="10.5">
      <c r="E107" s="6" t="s">
        <v>258</v>
      </c>
      <c r="J107" s="119">
        <f aca="true" t="shared" si="43" ref="J107:Q107">IF(J$12=1,IF(J$9=EOMONTH(J$9,0),(DAY(EOMONTH(J$8,0))-DAY(J$8)+1)/DAY(EOMONTH(J$8,0))+MONTH(J$9)-MONTH(J$8)+(YEAR(J$9)&lt;&gt;YEAR(J$8))*Mths_In_Yr,J106)/Mths_In_Yr,1/(Mths_In_Yr/J106))</f>
        <v>1</v>
      </c>
      <c r="K107" s="119">
        <f t="shared" si="43"/>
        <v>1</v>
      </c>
      <c r="L107" s="119">
        <f t="shared" si="43"/>
        <v>1</v>
      </c>
      <c r="M107" s="119">
        <f t="shared" si="43"/>
        <v>1</v>
      </c>
      <c r="N107" s="119">
        <f t="shared" si="43"/>
        <v>1</v>
      </c>
      <c r="O107" s="119">
        <f t="shared" si="43"/>
        <v>1</v>
      </c>
      <c r="P107" s="119">
        <f t="shared" si="43"/>
        <v>1</v>
      </c>
      <c r="Q107" s="119">
        <f t="shared" si="43"/>
        <v>1</v>
      </c>
    </row>
    <row r="108" spans="5:17" ht="10.5">
      <c r="E108" s="5" t="str">
        <f>Fcast_TA!$E$61</f>
        <v>Drawdowns/Repayments % into Period</v>
      </c>
      <c r="J108" s="119">
        <f>Fcast_TA!J61</f>
        <v>0.5</v>
      </c>
      <c r="K108" s="119">
        <f>Fcast_TA!K61</f>
        <v>0.5</v>
      </c>
      <c r="L108" s="119">
        <f>Fcast_TA!L61</f>
        <v>0.5</v>
      </c>
      <c r="M108" s="119">
        <f>Fcast_TA!M61</f>
        <v>0.5</v>
      </c>
      <c r="N108" s="119">
        <f>Fcast_TA!N61</f>
        <v>0.5</v>
      </c>
      <c r="O108" s="119">
        <f>Fcast_TA!O61</f>
        <v>0.5</v>
      </c>
      <c r="P108" s="119">
        <f>Fcast_TA!P61</f>
        <v>0.5</v>
      </c>
      <c r="Q108" s="119">
        <f>Fcast_TA!Q61</f>
        <v>0.5</v>
      </c>
    </row>
    <row r="109" spans="5:17" ht="10.5">
      <c r="E109" s="6" t="s">
        <v>259</v>
      </c>
      <c r="J109" s="99">
        <f>J95*J108+(1-J108)*J98</f>
        <v>50</v>
      </c>
      <c r="K109" s="99">
        <f aca="true" t="shared" si="44" ref="K109:Q109">K95*K108+(1-K108)*K98</f>
        <v>50</v>
      </c>
      <c r="L109" s="99">
        <f t="shared" si="44"/>
        <v>50</v>
      </c>
      <c r="M109" s="99">
        <f t="shared" si="44"/>
        <v>50</v>
      </c>
      <c r="N109" s="99">
        <f t="shared" si="44"/>
        <v>52.5</v>
      </c>
      <c r="O109" s="99">
        <f t="shared" si="44"/>
        <v>55</v>
      </c>
      <c r="P109" s="99">
        <f t="shared" si="44"/>
        <v>55</v>
      </c>
      <c r="Q109" s="99">
        <f t="shared" si="44"/>
        <v>55</v>
      </c>
    </row>
    <row r="110" spans="5:17" ht="10.5">
      <c r="E110" s="110" t="s">
        <v>252</v>
      </c>
      <c r="J110" s="100">
        <f>J104*J107*J109</f>
        <v>3.25</v>
      </c>
      <c r="K110" s="100">
        <f aca="true" t="shared" si="45" ref="K110:Q110">K104*K107*K109</f>
        <v>3.25</v>
      </c>
      <c r="L110" s="100">
        <f t="shared" si="45"/>
        <v>3.25</v>
      </c>
      <c r="M110" s="100">
        <f t="shared" si="45"/>
        <v>3.25</v>
      </c>
      <c r="N110" s="100">
        <f t="shared" si="45"/>
        <v>3.4125</v>
      </c>
      <c r="O110" s="100">
        <f t="shared" si="45"/>
        <v>3.575</v>
      </c>
      <c r="P110" s="100">
        <f t="shared" si="45"/>
        <v>3.575</v>
      </c>
      <c r="Q110" s="100">
        <f t="shared" si="45"/>
        <v>3.575</v>
      </c>
    </row>
    <row r="112" spans="5:17" ht="10.5">
      <c r="E112" s="5" t="str">
        <f>Fcast_TA!$E$65</f>
        <v>Opening Interest Payable</v>
      </c>
      <c r="J112" s="97">
        <f>IF(J$12=1,Fcast_TA!$J$65,I115)</f>
        <v>0</v>
      </c>
      <c r="K112" s="97">
        <f>IF(K$12=1,Fcast_TA!$J$65,J115)</f>
        <v>0</v>
      </c>
      <c r="L112" s="97">
        <f>IF(L$12=1,Fcast_TA!$J$65,K115)</f>
        <v>0</v>
      </c>
      <c r="M112" s="97">
        <f>IF(M$12=1,Fcast_TA!$J$65,L115)</f>
        <v>0</v>
      </c>
      <c r="N112" s="97">
        <f>IF(N$12=1,Fcast_TA!$J$65,M115)</f>
        <v>0</v>
      </c>
      <c r="O112" s="97">
        <f>IF(O$12=1,Fcast_TA!$J$65,N115)</f>
        <v>0</v>
      </c>
      <c r="P112" s="97">
        <f>IF(P$12=1,Fcast_TA!$J$65,O115)</f>
        <v>0</v>
      </c>
      <c r="Q112" s="97">
        <f>IF(Q$12=1,Fcast_TA!$J$65,P115)</f>
        <v>0</v>
      </c>
    </row>
    <row r="113" spans="5:17" ht="10.5">
      <c r="E113" s="5" t="str">
        <f>$E$110</f>
        <v>Interest Expense</v>
      </c>
      <c r="J113" s="97">
        <f>J110</f>
        <v>3.25</v>
      </c>
      <c r="K113" s="97">
        <f aca="true" t="shared" si="46" ref="K113:Q113">K110</f>
        <v>3.25</v>
      </c>
      <c r="L113" s="97">
        <f t="shared" si="46"/>
        <v>3.25</v>
      </c>
      <c r="M113" s="97">
        <f t="shared" si="46"/>
        <v>3.25</v>
      </c>
      <c r="N113" s="97">
        <f t="shared" si="46"/>
        <v>3.4125</v>
      </c>
      <c r="O113" s="97">
        <f t="shared" si="46"/>
        <v>3.575</v>
      </c>
      <c r="P113" s="97">
        <f t="shared" si="46"/>
        <v>3.575</v>
      </c>
      <c r="Q113" s="97">
        <f t="shared" si="46"/>
        <v>3.575</v>
      </c>
    </row>
    <row r="114" spans="5:17" ht="10.5">
      <c r="E114" s="6" t="s">
        <v>260</v>
      </c>
      <c r="J114" s="99">
        <f>-J113</f>
        <v>-3.25</v>
      </c>
      <c r="K114" s="99">
        <f aca="true" t="shared" si="47" ref="K114:Q114">-K113</f>
        <v>-3.25</v>
      </c>
      <c r="L114" s="99">
        <f t="shared" si="47"/>
        <v>-3.25</v>
      </c>
      <c r="M114" s="99">
        <f t="shared" si="47"/>
        <v>-3.25</v>
      </c>
      <c r="N114" s="99">
        <f t="shared" si="47"/>
        <v>-3.4125</v>
      </c>
      <c r="O114" s="99">
        <f t="shared" si="47"/>
        <v>-3.575</v>
      </c>
      <c r="P114" s="99">
        <f t="shared" si="47"/>
        <v>-3.575</v>
      </c>
      <c r="Q114" s="99">
        <f t="shared" si="47"/>
        <v>-3.575</v>
      </c>
    </row>
    <row r="115" spans="5:17" ht="10.5">
      <c r="E115" s="110" t="s">
        <v>261</v>
      </c>
      <c r="J115" s="97">
        <f>SUM(J112:J114)</f>
        <v>0</v>
      </c>
      <c r="K115" s="97">
        <f aca="true" t="shared" si="48" ref="K115:Q115">SUM(K112:K114)</f>
        <v>0</v>
      </c>
      <c r="L115" s="97">
        <f t="shared" si="48"/>
        <v>0</v>
      </c>
      <c r="M115" s="97">
        <f t="shared" si="48"/>
        <v>0</v>
      </c>
      <c r="N115" s="97">
        <f t="shared" si="48"/>
        <v>0</v>
      </c>
      <c r="O115" s="97">
        <f t="shared" si="48"/>
        <v>0</v>
      </c>
      <c r="P115" s="97">
        <f t="shared" si="48"/>
        <v>0</v>
      </c>
      <c r="Q115" s="97">
        <f t="shared" si="48"/>
        <v>0</v>
      </c>
    </row>
    <row r="117" ht="11.25">
      <c r="C117" s="96" t="s">
        <v>419</v>
      </c>
    </row>
    <row r="119" ht="10.5">
      <c r="D119" s="4" t="str">
        <f>Fcast_TA!$D$73</f>
        <v>Ordinary Equity Balances ($Millions)</v>
      </c>
    </row>
    <row r="121" spans="5:17" ht="10.5">
      <c r="E121" s="5" t="str">
        <f>Fcast_TA!E75</f>
        <v>Opening Balance</v>
      </c>
      <c r="J121" s="97">
        <f>IF(J$12=1,Fcast_TA!$J$75,I124)</f>
        <v>75</v>
      </c>
      <c r="K121" s="97">
        <f>IF(K$12=1,Fcast_TA!$J$75,J124)</f>
        <v>75</v>
      </c>
      <c r="L121" s="97">
        <f>IF(L$12=1,Fcast_TA!$J$75,K124)</f>
        <v>75</v>
      </c>
      <c r="M121" s="97">
        <f>IF(M$12=1,Fcast_TA!$J$75,L124)</f>
        <v>75</v>
      </c>
      <c r="N121" s="97">
        <f>IF(N$12=1,Fcast_TA!$J$75,M124)</f>
        <v>75</v>
      </c>
      <c r="O121" s="97">
        <f>IF(O$12=1,Fcast_TA!$J$75,N124)</f>
        <v>75</v>
      </c>
      <c r="P121" s="97">
        <f>IF(P$12=1,Fcast_TA!$J$75,O124)</f>
        <v>75</v>
      </c>
      <c r="Q121" s="97">
        <f>IF(Q$12=1,Fcast_TA!$J$75,P124)</f>
        <v>75</v>
      </c>
    </row>
    <row r="122" spans="5:17" ht="10.5">
      <c r="E122" s="5" t="str">
        <f>Fcast_TA!E76</f>
        <v>Equity Raisings</v>
      </c>
      <c r="J122" s="97">
        <f>Fcast_TA!J76</f>
        <v>0</v>
      </c>
      <c r="K122" s="97">
        <f>Fcast_TA!K76</f>
        <v>0</v>
      </c>
      <c r="L122" s="97">
        <f>Fcast_TA!L76</f>
        <v>0</v>
      </c>
      <c r="M122" s="97">
        <f>Fcast_TA!M76</f>
        <v>0</v>
      </c>
      <c r="N122" s="97">
        <f>Fcast_TA!N76</f>
        <v>0</v>
      </c>
      <c r="O122" s="97">
        <f>Fcast_TA!O76</f>
        <v>0</v>
      </c>
      <c r="P122" s="97">
        <f>Fcast_TA!P76</f>
        <v>0</v>
      </c>
      <c r="Q122" s="97">
        <f>Fcast_TA!Q76</f>
        <v>0</v>
      </c>
    </row>
    <row r="123" spans="5:17" ht="10.5">
      <c r="E123" s="5" t="str">
        <f>Fcast_TA!E77</f>
        <v>Equity Repayments</v>
      </c>
      <c r="J123" s="99">
        <f>-Fcast_TA!J77</f>
        <v>0</v>
      </c>
      <c r="K123" s="99">
        <f>-Fcast_TA!K77</f>
        <v>0</v>
      </c>
      <c r="L123" s="99">
        <f>-Fcast_TA!L77</f>
        <v>0</v>
      </c>
      <c r="M123" s="99">
        <f>-Fcast_TA!M77</f>
        <v>0</v>
      </c>
      <c r="N123" s="99">
        <f>-Fcast_TA!N77</f>
        <v>0</v>
      </c>
      <c r="O123" s="99">
        <f>-Fcast_TA!O77</f>
        <v>0</v>
      </c>
      <c r="P123" s="99">
        <f>-Fcast_TA!P77</f>
        <v>0</v>
      </c>
      <c r="Q123" s="99">
        <f>-Fcast_TA!Q77</f>
        <v>0</v>
      </c>
    </row>
    <row r="124" spans="5:17" ht="10.5">
      <c r="E124" s="4" t="str">
        <f>Fcast_TA!E78</f>
        <v>Closing Ordinary Equity</v>
      </c>
      <c r="J124" s="100">
        <f>SUM(J121:J123)</f>
        <v>75</v>
      </c>
      <c r="K124" s="100">
        <f aca="true" t="shared" si="49" ref="K124:Q124">SUM(K121:K123)</f>
        <v>75</v>
      </c>
      <c r="L124" s="100">
        <f t="shared" si="49"/>
        <v>75</v>
      </c>
      <c r="M124" s="100">
        <f t="shared" si="49"/>
        <v>75</v>
      </c>
      <c r="N124" s="100">
        <f t="shared" si="49"/>
        <v>75</v>
      </c>
      <c r="O124" s="100">
        <f t="shared" si="49"/>
        <v>75</v>
      </c>
      <c r="P124" s="100">
        <f t="shared" si="49"/>
        <v>75</v>
      </c>
      <c r="Q124" s="100">
        <f t="shared" si="49"/>
        <v>75</v>
      </c>
    </row>
    <row r="126" ht="10.5">
      <c r="D126" s="4" t="str">
        <f>Fcast_TA!$D$80</f>
        <v>Dividends Payable &amp; Paid</v>
      </c>
    </row>
    <row r="128" spans="5:17" ht="10.5">
      <c r="E128" s="6" t="s">
        <v>247</v>
      </c>
      <c r="J128" s="97">
        <f>IF(J$12=1,Fcast_TA!$J$82,I131)</f>
        <v>0</v>
      </c>
      <c r="K128" s="97">
        <f>IF(K$12=1,Fcast_TA!$J$82,J131)</f>
        <v>0</v>
      </c>
      <c r="L128" s="97">
        <f>IF(L$12=1,Fcast_TA!$J$82,K131)</f>
        <v>0</v>
      </c>
      <c r="M128" s="97">
        <f>IF(M$12=1,Fcast_TA!$J$82,L131)</f>
        <v>0</v>
      </c>
      <c r="N128" s="97">
        <f>IF(N$12=1,Fcast_TA!$J$82,M131)</f>
        <v>0</v>
      </c>
      <c r="O128" s="97">
        <f>IF(O$12=1,Fcast_TA!$J$82,N131)</f>
        <v>0</v>
      </c>
      <c r="P128" s="97">
        <f>IF(P$12=1,Fcast_TA!$J$82,O131)</f>
        <v>0</v>
      </c>
      <c r="Q128" s="97">
        <f>IF(Q$12=1,Fcast_TA!$J$82,P131)</f>
        <v>0</v>
      </c>
    </row>
    <row r="129" spans="5:17" ht="10.5">
      <c r="E129" s="6" t="s">
        <v>276</v>
      </c>
      <c r="J129" s="97">
        <f aca="true" t="shared" si="50" ref="J129:Q129">J153</f>
        <v>14.91875</v>
      </c>
      <c r="K129" s="97">
        <f t="shared" si="50"/>
        <v>15.32015625</v>
      </c>
      <c r="L129" s="97">
        <f t="shared" si="50"/>
        <v>15.731597656250003</v>
      </c>
      <c r="M129" s="97">
        <f t="shared" si="50"/>
        <v>16.153325097656253</v>
      </c>
      <c r="N129" s="97">
        <f t="shared" si="50"/>
        <v>16.528720725097664</v>
      </c>
      <c r="O129" s="97">
        <f t="shared" si="50"/>
        <v>16.9149231182251</v>
      </c>
      <c r="P129" s="97">
        <f t="shared" si="50"/>
        <v>17.369077446180725</v>
      </c>
      <c r="Q129" s="97">
        <f t="shared" si="50"/>
        <v>17.834585632335237</v>
      </c>
    </row>
    <row r="130" spans="5:17" ht="10.5">
      <c r="E130" s="6" t="s">
        <v>277</v>
      </c>
      <c r="J130" s="99">
        <f aca="true" t="shared" si="51" ref="J130:Q130">-J129</f>
        <v>-14.91875</v>
      </c>
      <c r="K130" s="99">
        <f t="shared" si="51"/>
        <v>-15.32015625</v>
      </c>
      <c r="L130" s="99">
        <f t="shared" si="51"/>
        <v>-15.731597656250003</v>
      </c>
      <c r="M130" s="99">
        <f t="shared" si="51"/>
        <v>-16.153325097656253</v>
      </c>
      <c r="N130" s="99">
        <f t="shared" si="51"/>
        <v>-16.528720725097664</v>
      </c>
      <c r="O130" s="99">
        <f t="shared" si="51"/>
        <v>-16.9149231182251</v>
      </c>
      <c r="P130" s="99">
        <f t="shared" si="51"/>
        <v>-17.369077446180725</v>
      </c>
      <c r="Q130" s="99">
        <f t="shared" si="51"/>
        <v>-17.834585632335237</v>
      </c>
    </row>
    <row r="131" spans="5:17" ht="10.5">
      <c r="E131" s="110" t="s">
        <v>278</v>
      </c>
      <c r="J131" s="100">
        <f aca="true" t="shared" si="52" ref="J131:Q131">SUM(J128:J130)</f>
        <v>0</v>
      </c>
      <c r="K131" s="100">
        <f t="shared" si="52"/>
        <v>0</v>
      </c>
      <c r="L131" s="100">
        <f t="shared" si="52"/>
        <v>0</v>
      </c>
      <c r="M131" s="100">
        <f t="shared" si="52"/>
        <v>0</v>
      </c>
      <c r="N131" s="100">
        <f t="shared" si="52"/>
        <v>0</v>
      </c>
      <c r="O131" s="100">
        <f t="shared" si="52"/>
        <v>0</v>
      </c>
      <c r="P131" s="100">
        <f t="shared" si="52"/>
        <v>0</v>
      </c>
      <c r="Q131" s="100">
        <f t="shared" si="52"/>
        <v>0</v>
      </c>
    </row>
    <row r="133" spans="6:17" ht="10.5" hidden="1" outlineLevel="2">
      <c r="F133" s="6" t="s">
        <v>241</v>
      </c>
      <c r="J133" s="98">
        <f aca="true" t="shared" si="53" ref="J133:Q133">IF(ISERROR(SUM(J121:J124,J128:J131)),1,0)</f>
        <v>0</v>
      </c>
      <c r="K133" s="98">
        <f t="shared" si="53"/>
        <v>0</v>
      </c>
      <c r="L133" s="98">
        <f t="shared" si="53"/>
        <v>0</v>
      </c>
      <c r="M133" s="98">
        <f t="shared" si="53"/>
        <v>0</v>
      </c>
      <c r="N133" s="98">
        <f t="shared" si="53"/>
        <v>0</v>
      </c>
      <c r="O133" s="98">
        <f t="shared" si="53"/>
        <v>0</v>
      </c>
      <c r="P133" s="98">
        <f t="shared" si="53"/>
        <v>0</v>
      </c>
      <c r="Q133" s="98">
        <f t="shared" si="53"/>
        <v>0</v>
      </c>
    </row>
    <row r="134" spans="6:17" ht="10.5" hidden="1" outlineLevel="2">
      <c r="F134" s="6" t="s">
        <v>279</v>
      </c>
      <c r="J134" s="105">
        <f aca="true" t="shared" si="54" ref="J134:Q134">IF(J133&lt;&gt;0,0,OR(ROUND(J121,5)&lt;0,ROUND(J122,5)&lt;0,ROUND(J123,5)&gt;0,ROUND(J124,5)&lt;0,ROUND(J124-SUM(J121:J123),5)&lt;&gt;0)*1)</f>
        <v>0</v>
      </c>
      <c r="K134" s="105">
        <f t="shared" si="54"/>
        <v>0</v>
      </c>
      <c r="L134" s="105">
        <f t="shared" si="54"/>
        <v>0</v>
      </c>
      <c r="M134" s="105">
        <f t="shared" si="54"/>
        <v>0</v>
      </c>
      <c r="N134" s="105">
        <f t="shared" si="54"/>
        <v>0</v>
      </c>
      <c r="O134" s="105">
        <f t="shared" si="54"/>
        <v>0</v>
      </c>
      <c r="P134" s="105">
        <f t="shared" si="54"/>
        <v>0</v>
      </c>
      <c r="Q134" s="105">
        <f t="shared" si="54"/>
        <v>0</v>
      </c>
    </row>
    <row r="135" spans="6:17" ht="10.5" hidden="1" outlineLevel="2">
      <c r="F135" s="6" t="s">
        <v>280</v>
      </c>
      <c r="J135" s="125">
        <f aca="true" t="shared" si="55" ref="J135:Q135">IF(J133&lt;&gt;0,0,OR(ROUND(J128,5)&lt;0,ROUND(J129,5)&lt;0,ROUND(J130,5)&gt;0,ROUND(J131,5)&lt;0,ROUND(J131-SUM(J128:J130),5)&lt;&gt;0)*1)</f>
        <v>0</v>
      </c>
      <c r="K135" s="125">
        <f t="shared" si="55"/>
        <v>0</v>
      </c>
      <c r="L135" s="125">
        <f t="shared" si="55"/>
        <v>0</v>
      </c>
      <c r="M135" s="125">
        <f t="shared" si="55"/>
        <v>0</v>
      </c>
      <c r="N135" s="125">
        <f t="shared" si="55"/>
        <v>0</v>
      </c>
      <c r="O135" s="125">
        <f t="shared" si="55"/>
        <v>0</v>
      </c>
      <c r="P135" s="125">
        <f t="shared" si="55"/>
        <v>0</v>
      </c>
      <c r="Q135" s="125">
        <f t="shared" si="55"/>
        <v>0</v>
      </c>
    </row>
    <row r="136" spans="5:17" ht="10.5" collapsed="1">
      <c r="E136" s="6" t="s">
        <v>412</v>
      </c>
      <c r="I136" s="101">
        <f>IF(ISERROR(SUM(J136:Q136)),0,MIN(SUM(J136:Q136),1))</f>
        <v>0</v>
      </c>
      <c r="J136" s="98">
        <f aca="true" t="shared" si="56" ref="J136:Q136">IF(ISERROR(SUM(J133:J135)),1,MIN(1,SUM(J133:J135)))</f>
        <v>0</v>
      </c>
      <c r="K136" s="98">
        <f t="shared" si="56"/>
        <v>0</v>
      </c>
      <c r="L136" s="98">
        <f t="shared" si="56"/>
        <v>0</v>
      </c>
      <c r="M136" s="98">
        <f t="shared" si="56"/>
        <v>0</v>
      </c>
      <c r="N136" s="98">
        <f t="shared" si="56"/>
        <v>0</v>
      </c>
      <c r="O136" s="98">
        <f t="shared" si="56"/>
        <v>0</v>
      </c>
      <c r="P136" s="98">
        <f t="shared" si="56"/>
        <v>0</v>
      </c>
      <c r="Q136" s="98">
        <f t="shared" si="56"/>
        <v>0</v>
      </c>
    </row>
    <row r="138" ht="10.5">
      <c r="D138" s="110" t="s">
        <v>426</v>
      </c>
    </row>
    <row r="140" spans="5:10" ht="10.5">
      <c r="E140" s="5" t="str">
        <f>Fcast_TA!$E$84</f>
        <v>Dividend Determination Method:</v>
      </c>
      <c r="J140" s="5" t="str">
        <f>INDEX(LU_Eq_Ord_Div_Meth,DD_Eq_Ord_Div_Meth)</f>
        <v>% of NPAT</v>
      </c>
    </row>
    <row r="142" spans="5:17" ht="10.5">
      <c r="E142" s="5" t="str">
        <f>Fcast_TA!$E$86</f>
        <v>Dividend Declaration Period?</v>
      </c>
      <c r="J142" s="111" t="str">
        <f>Fcast_TA!J86</f>
        <v>Yes</v>
      </c>
      <c r="K142" s="111" t="str">
        <f>Fcast_TA!K86</f>
        <v>Yes</v>
      </c>
      <c r="L142" s="111" t="str">
        <f>Fcast_TA!L86</f>
        <v>Yes</v>
      </c>
      <c r="M142" s="111" t="str">
        <f>Fcast_TA!M86</f>
        <v>Yes</v>
      </c>
      <c r="N142" s="111" t="str">
        <f>Fcast_TA!N86</f>
        <v>Yes</v>
      </c>
      <c r="O142" s="111" t="str">
        <f>Fcast_TA!O86</f>
        <v>Yes</v>
      </c>
      <c r="P142" s="111" t="str">
        <f>Fcast_TA!P86</f>
        <v>Yes</v>
      </c>
      <c r="Q142" s="111" t="str">
        <f>Fcast_TA!Q86</f>
        <v>Yes</v>
      </c>
    </row>
    <row r="144" spans="5:17" s="22" customFormat="1" ht="10.5">
      <c r="E144" s="147" t="s">
        <v>281</v>
      </c>
      <c r="J144" s="144">
        <f>BS_TO!J61</f>
        <v>0</v>
      </c>
      <c r="K144" s="144">
        <f>BS_TO!K61</f>
        <v>60.91875</v>
      </c>
      <c r="L144" s="144">
        <f>BS_TO!L61</f>
        <v>76.23890625000001</v>
      </c>
      <c r="M144" s="144">
        <f>BS_TO!M61</f>
        <v>91.97050390625002</v>
      </c>
      <c r="N144" s="144">
        <f>BS_TO!N61</f>
        <v>108.12382900390628</v>
      </c>
      <c r="O144" s="144">
        <f>BS_TO!O61</f>
        <v>124.65254972900394</v>
      </c>
      <c r="P144" s="144">
        <f>BS_TO!P61</f>
        <v>141.56747284722906</v>
      </c>
      <c r="Q144" s="144">
        <f>BS_TO!Q61</f>
        <v>158.93655029340977</v>
      </c>
    </row>
    <row r="145" spans="5:17" s="22" customFormat="1" ht="10.5">
      <c r="E145" s="147" t="s">
        <v>282</v>
      </c>
      <c r="J145" s="145">
        <f>IS_TO!J39</f>
        <v>29.8375</v>
      </c>
      <c r="K145" s="145">
        <f>IS_TO!K39</f>
        <v>30.6403125</v>
      </c>
      <c r="L145" s="145">
        <f>IS_TO!L39</f>
        <v>31.463195312500005</v>
      </c>
      <c r="M145" s="145">
        <f>IS_TO!M39</f>
        <v>32.30665019531251</v>
      </c>
      <c r="N145" s="145">
        <f>IS_TO!N39</f>
        <v>33.05744145019533</v>
      </c>
      <c r="O145" s="145">
        <f>IS_TO!O39</f>
        <v>33.8298462364502</v>
      </c>
      <c r="P145" s="145">
        <f>IS_TO!P39</f>
        <v>34.73815489236145</v>
      </c>
      <c r="Q145" s="145">
        <f>IS_TO!Q39</f>
        <v>35.669171264670474</v>
      </c>
    </row>
    <row r="146" spans="5:17" ht="10.5">
      <c r="E146" s="110" t="s">
        <v>285</v>
      </c>
      <c r="J146" s="100">
        <f>MAX(0,SUM(J144:J145))</f>
        <v>29.8375</v>
      </c>
      <c r="K146" s="100">
        <f aca="true" t="shared" si="57" ref="K146:Q146">MAX(0,SUM(K144:K145))</f>
        <v>91.55906250000001</v>
      </c>
      <c r="L146" s="100">
        <f t="shared" si="57"/>
        <v>107.70210156250002</v>
      </c>
      <c r="M146" s="100">
        <f t="shared" si="57"/>
        <v>124.27715410156253</v>
      </c>
      <c r="N146" s="100">
        <f t="shared" si="57"/>
        <v>141.1812704541016</v>
      </c>
      <c r="O146" s="100">
        <f t="shared" si="57"/>
        <v>158.48239596545415</v>
      </c>
      <c r="P146" s="100">
        <f t="shared" si="57"/>
        <v>176.3056277395905</v>
      </c>
      <c r="Q146" s="100">
        <f t="shared" si="57"/>
        <v>194.60572155808023</v>
      </c>
    </row>
    <row r="147" spans="5:17" s="22" customFormat="1" ht="10.5">
      <c r="E147" s="147" t="s">
        <v>283</v>
      </c>
      <c r="J147" s="144">
        <f>BS_TO!J20</f>
        <v>15</v>
      </c>
      <c r="K147" s="144">
        <f>BS_TO!K20</f>
        <v>38.570976027397265</v>
      </c>
      <c r="L147" s="144">
        <f>BS_TO!L20</f>
        <v>49.719312928082175</v>
      </c>
      <c r="M147" s="144">
        <f>BS_TO!M20</f>
        <v>62.20628400358605</v>
      </c>
      <c r="N147" s="144">
        <f>BS_TO!N20</f>
        <v>75.02072814506636</v>
      </c>
      <c r="O147" s="144">
        <f>BS_TO!O20</f>
        <v>93.08499634869301</v>
      </c>
      <c r="P147" s="144">
        <f>BS_TO!P20</f>
        <v>106.45007438241035</v>
      </c>
      <c r="Q147" s="144">
        <f>BS_TO!Q20</f>
        <v>120.237691183499</v>
      </c>
    </row>
    <row r="148" spans="5:17" s="22" customFormat="1" ht="10.5">
      <c r="E148" s="147" t="s">
        <v>284</v>
      </c>
      <c r="J148" s="145">
        <f>CFS_TO!J101</f>
        <v>38.48972602739727</v>
      </c>
      <c r="K148" s="145">
        <f>CFS_TO!K101</f>
        <v>26.468493150684914</v>
      </c>
      <c r="L148" s="145">
        <f>CFS_TO!L101</f>
        <v>28.218568731753876</v>
      </c>
      <c r="M148" s="145">
        <f>CFS_TO!M101</f>
        <v>28.967769239136572</v>
      </c>
      <c r="N148" s="145">
        <f>CFS_TO!N101</f>
        <v>34.592988928724324</v>
      </c>
      <c r="O148" s="145">
        <f>CFS_TO!O101</f>
        <v>30.28000115194244</v>
      </c>
      <c r="P148" s="145">
        <f>CFS_TO!P101</f>
        <v>31.156694247269368</v>
      </c>
      <c r="Q148" s="145">
        <f>CFS_TO!Q101</f>
        <v>31.983671424981136</v>
      </c>
    </row>
    <row r="149" spans="5:17" ht="10.5">
      <c r="E149" s="110" t="s">
        <v>286</v>
      </c>
      <c r="J149" s="100">
        <f>SUM(J147:J148)</f>
        <v>53.48972602739727</v>
      </c>
      <c r="K149" s="100">
        <f aca="true" t="shared" si="58" ref="K149:Q149">SUM(K147:K148)</f>
        <v>65.03946917808219</v>
      </c>
      <c r="L149" s="100">
        <f t="shared" si="58"/>
        <v>77.93788165983605</v>
      </c>
      <c r="M149" s="100">
        <f t="shared" si="58"/>
        <v>91.17405324272262</v>
      </c>
      <c r="N149" s="100">
        <f t="shared" si="58"/>
        <v>109.61371707379068</v>
      </c>
      <c r="O149" s="100">
        <f t="shared" si="58"/>
        <v>123.36499750063545</v>
      </c>
      <c r="P149" s="100">
        <f t="shared" si="58"/>
        <v>137.60676862967972</v>
      </c>
      <c r="Q149" s="100">
        <f t="shared" si="58"/>
        <v>152.22136260848012</v>
      </c>
    </row>
    <row r="150" spans="5:17" ht="10.5">
      <c r="E150" s="5" t="str">
        <f>Fcast_TA!E87</f>
        <v>Dividend Payout Ratio - % of NPAT</v>
      </c>
      <c r="J150" s="104">
        <f>IF(OR(J142&lt;&gt;"Yes",DD_Eq_Ord_Div_Meth&lt;&gt;1),0,Fcast_TA!J87)</f>
        <v>0.5</v>
      </c>
      <c r="K150" s="104">
        <f>IF(OR(K142&lt;&gt;"Yes",DD_Eq_Ord_Div_Meth&lt;&gt;1),0,Fcast_TA!K87)</f>
        <v>0.5</v>
      </c>
      <c r="L150" s="104">
        <f>IF(OR(L142&lt;&gt;"Yes",DD_Eq_Ord_Div_Meth&lt;&gt;1),0,Fcast_TA!L87)</f>
        <v>0.5</v>
      </c>
      <c r="M150" s="104">
        <f>IF(OR(M142&lt;&gt;"Yes",DD_Eq_Ord_Div_Meth&lt;&gt;1),0,Fcast_TA!M87)</f>
        <v>0.5</v>
      </c>
      <c r="N150" s="104">
        <f>IF(OR(N142&lt;&gt;"Yes",DD_Eq_Ord_Div_Meth&lt;&gt;1),0,Fcast_TA!N87)</f>
        <v>0.5</v>
      </c>
      <c r="O150" s="104">
        <f>IF(OR(O142&lt;&gt;"Yes",DD_Eq_Ord_Div_Meth&lt;&gt;1),0,Fcast_TA!O87)</f>
        <v>0.5</v>
      </c>
      <c r="P150" s="104">
        <f>IF(OR(P142&lt;&gt;"Yes",DD_Eq_Ord_Div_Meth&lt;&gt;1),0,Fcast_TA!P87)</f>
        <v>0.5</v>
      </c>
      <c r="Q150" s="104">
        <f>IF(OR(Q142&lt;&gt;"Yes",DD_Eq_Ord_Div_Meth&lt;&gt;1),0,Fcast_TA!Q87)</f>
        <v>0.5</v>
      </c>
    </row>
    <row r="151" spans="5:17" ht="10.5">
      <c r="E151" s="5" t="str">
        <f>Fcast_TA!E88</f>
        <v>Assumed Dividends - Not Applied</v>
      </c>
      <c r="J151" s="124">
        <f>IF(OR(J142&lt;&gt;"Yes",DD_Eq_Ord_Div_Meth&lt;&gt;2),0,Fcast_TA!J88)</f>
        <v>0</v>
      </c>
      <c r="K151" s="124">
        <f>IF(OR(K142&lt;&gt;"Yes",DD_Eq_Ord_Div_Meth&lt;&gt;2),0,Fcast_TA!K88)</f>
        <v>0</v>
      </c>
      <c r="L151" s="124">
        <f>IF(OR(L142&lt;&gt;"Yes",DD_Eq_Ord_Div_Meth&lt;&gt;2),0,Fcast_TA!L88)</f>
        <v>0</v>
      </c>
      <c r="M151" s="124">
        <f>IF(OR(M142&lt;&gt;"Yes",DD_Eq_Ord_Div_Meth&lt;&gt;2),0,Fcast_TA!M88)</f>
        <v>0</v>
      </c>
      <c r="N151" s="124">
        <f>IF(OR(N142&lt;&gt;"Yes",DD_Eq_Ord_Div_Meth&lt;&gt;2),0,Fcast_TA!N88)</f>
        <v>0</v>
      </c>
      <c r="O151" s="124">
        <f>IF(OR(O142&lt;&gt;"Yes",DD_Eq_Ord_Div_Meth&lt;&gt;2),0,Fcast_TA!O88)</f>
        <v>0</v>
      </c>
      <c r="P151" s="124">
        <f>IF(OR(P142&lt;&gt;"Yes",DD_Eq_Ord_Div_Meth&lt;&gt;2),0,Fcast_TA!P88)</f>
        <v>0</v>
      </c>
      <c r="Q151" s="124">
        <f>IF(OR(Q142&lt;&gt;"Yes",DD_Eq_Ord_Div_Meth&lt;&gt;2),0,Fcast_TA!Q88)</f>
        <v>0</v>
      </c>
    </row>
    <row r="152" spans="5:17" ht="10.5">
      <c r="E152" s="6" t="s">
        <v>287</v>
      </c>
      <c r="J152" s="146">
        <f aca="true" t="shared" si="59" ref="J152:Q152">IF(J142&lt;&gt;"Yes",0,IF(DD_Eq_Ord_Div_Meth=1,J150*IF(CB_Eq_Ord_Inc_Open_RP_In_NPAT,J146,J145),J151))</f>
        <v>14.91875</v>
      </c>
      <c r="K152" s="146">
        <f t="shared" si="59"/>
        <v>15.32015625</v>
      </c>
      <c r="L152" s="146">
        <f t="shared" si="59"/>
        <v>15.731597656250003</v>
      </c>
      <c r="M152" s="146">
        <f t="shared" si="59"/>
        <v>16.153325097656253</v>
      </c>
      <c r="N152" s="146">
        <f t="shared" si="59"/>
        <v>16.528720725097664</v>
      </c>
      <c r="O152" s="146">
        <f t="shared" si="59"/>
        <v>16.9149231182251</v>
      </c>
      <c r="P152" s="146">
        <f t="shared" si="59"/>
        <v>17.369077446180725</v>
      </c>
      <c r="Q152" s="146">
        <f t="shared" si="59"/>
        <v>17.834585632335237</v>
      </c>
    </row>
    <row r="153" spans="5:17" ht="10.5">
      <c r="E153" s="110" t="s">
        <v>288</v>
      </c>
      <c r="J153" s="100">
        <f aca="true" t="shared" si="60" ref="J153:Q153">IF(CB_Eq_Ord_Cash_Limit_Div,MAX(0,MIN(J146,J149,J152)),MAX(0,MIN(J146,J152)))</f>
        <v>14.91875</v>
      </c>
      <c r="K153" s="100">
        <f t="shared" si="60"/>
        <v>15.32015625</v>
      </c>
      <c r="L153" s="100">
        <f t="shared" si="60"/>
        <v>15.731597656250003</v>
      </c>
      <c r="M153" s="100">
        <f t="shared" si="60"/>
        <v>16.153325097656253</v>
      </c>
      <c r="N153" s="100">
        <f t="shared" si="60"/>
        <v>16.528720725097664</v>
      </c>
      <c r="O153" s="100">
        <f t="shared" si="60"/>
        <v>16.9149231182251</v>
      </c>
      <c r="P153" s="100">
        <f t="shared" si="60"/>
        <v>17.369077446180725</v>
      </c>
      <c r="Q153" s="100">
        <f t="shared" si="60"/>
        <v>17.834585632335237</v>
      </c>
    </row>
    <row r="155" spans="5:17" ht="10.5">
      <c r="E155" s="6" t="s">
        <v>427</v>
      </c>
      <c r="I155" s="101">
        <f>IF(ISERROR(SUM(J155:Q155)),0,MIN(SUM(J155:Q155),1))</f>
        <v>0</v>
      </c>
      <c r="J155" s="98">
        <f aca="true" t="shared" si="61" ref="J155:Q155">IF(ISERROR(J152&lt;&gt;J153),0,(J152&lt;&gt;J153)*1)</f>
        <v>0</v>
      </c>
      <c r="K155" s="98">
        <f t="shared" si="61"/>
        <v>0</v>
      </c>
      <c r="L155" s="98">
        <f t="shared" si="61"/>
        <v>0</v>
      </c>
      <c r="M155" s="98">
        <f t="shared" si="61"/>
        <v>0</v>
      </c>
      <c r="N155" s="98">
        <f t="shared" si="61"/>
        <v>0</v>
      </c>
      <c r="O155" s="98">
        <f t="shared" si="61"/>
        <v>0</v>
      </c>
      <c r="P155" s="98">
        <f t="shared" si="61"/>
        <v>0</v>
      </c>
      <c r="Q155" s="98">
        <f t="shared" si="61"/>
        <v>0</v>
      </c>
    </row>
    <row r="157" ht="12.75">
      <c r="B157" s="120" t="s">
        <v>421</v>
      </c>
    </row>
    <row r="159" spans="2:3" ht="12.75">
      <c r="B159" s="120"/>
      <c r="C159" s="126" t="str">
        <f>"Tax Expense ("&amp;INDEX(LU_Denom,DD_TS_Denom)&amp;")"</f>
        <v>Tax Expense ($Millions)</v>
      </c>
    </row>
    <row r="161" spans="4:17" ht="10.5">
      <c r="D161" s="5" t="str">
        <f>C18</f>
        <v>Revenue</v>
      </c>
      <c r="J161" s="97">
        <f>J18</f>
        <v>125</v>
      </c>
      <c r="K161" s="97">
        <f aca="true" t="shared" si="62" ref="K161:Q161">K18</f>
        <v>128.125</v>
      </c>
      <c r="L161" s="97">
        <f t="shared" si="62"/>
        <v>131.328125</v>
      </c>
      <c r="M161" s="97">
        <f t="shared" si="62"/>
        <v>134.611328125</v>
      </c>
      <c r="N161" s="97">
        <f t="shared" si="62"/>
        <v>137.976611328125</v>
      </c>
      <c r="O161" s="97">
        <f t="shared" si="62"/>
        <v>141.4260266113281</v>
      </c>
      <c r="P161" s="97">
        <f t="shared" si="62"/>
        <v>144.96167727661128</v>
      </c>
      <c r="Q161" s="97">
        <f t="shared" si="62"/>
        <v>148.58571920852654</v>
      </c>
    </row>
    <row r="162" spans="4:17" ht="10.5">
      <c r="D162" s="5" t="str">
        <f>C19</f>
        <v>Cost of Goods Sold</v>
      </c>
      <c r="J162" s="97">
        <f>-J19</f>
        <v>-25</v>
      </c>
      <c r="K162" s="97">
        <f aca="true" t="shared" si="63" ref="K162:Q162">-K19</f>
        <v>-25.624999999999996</v>
      </c>
      <c r="L162" s="97">
        <f t="shared" si="63"/>
        <v>-26.265624999999993</v>
      </c>
      <c r="M162" s="97">
        <f t="shared" si="63"/>
        <v>-26.92226562499999</v>
      </c>
      <c r="N162" s="97">
        <f t="shared" si="63"/>
        <v>-27.59532226562499</v>
      </c>
      <c r="O162" s="97">
        <f t="shared" si="63"/>
        <v>-28.28520532226561</v>
      </c>
      <c r="P162" s="97">
        <f t="shared" si="63"/>
        <v>-28.992335455322248</v>
      </c>
      <c r="Q162" s="97">
        <f t="shared" si="63"/>
        <v>-29.7171438417053</v>
      </c>
    </row>
    <row r="163" spans="4:17" ht="10.5">
      <c r="D163" s="5" t="str">
        <f>C20</f>
        <v>Operating Expenditure</v>
      </c>
      <c r="J163" s="97">
        <f aca="true" t="shared" si="64" ref="J163:Q163">-J20</f>
        <v>-40</v>
      </c>
      <c r="K163" s="97">
        <f t="shared" si="64"/>
        <v>-41</v>
      </c>
      <c r="L163" s="97">
        <f t="shared" si="64"/>
        <v>-42.025</v>
      </c>
      <c r="M163" s="97">
        <f t="shared" si="64"/>
        <v>-43.075624999999995</v>
      </c>
      <c r="N163" s="97">
        <f t="shared" si="64"/>
        <v>-44.15251562499999</v>
      </c>
      <c r="O163" s="97">
        <f t="shared" si="64"/>
        <v>-45.256328515624986</v>
      </c>
      <c r="P163" s="97">
        <f t="shared" si="64"/>
        <v>-46.387736728515605</v>
      </c>
      <c r="Q163" s="97">
        <f t="shared" si="64"/>
        <v>-47.547430146728495</v>
      </c>
    </row>
    <row r="164" spans="4:17" ht="10.5">
      <c r="D164" s="5" t="str">
        <f>D69</f>
        <v>Depreciation</v>
      </c>
      <c r="J164" s="97">
        <f>J69</f>
        <v>-13.5</v>
      </c>
      <c r="K164" s="97">
        <f aca="true" t="shared" si="65" ref="K164:Q164">K69</f>
        <v>-13.837499999999999</v>
      </c>
      <c r="L164" s="97">
        <f t="shared" si="65"/>
        <v>-14.183437499999997</v>
      </c>
      <c r="M164" s="97">
        <f t="shared" si="65"/>
        <v>-14.538023437499994</v>
      </c>
      <c r="N164" s="97">
        <f t="shared" si="65"/>
        <v>-14.901474023437492</v>
      </c>
      <c r="O164" s="97">
        <f t="shared" si="65"/>
        <v>-15.274010874023428</v>
      </c>
      <c r="P164" s="97">
        <f t="shared" si="65"/>
        <v>-15.655861145874013</v>
      </c>
      <c r="Q164" s="97">
        <f t="shared" si="65"/>
        <v>-16.04725767452086</v>
      </c>
    </row>
    <row r="165" spans="4:17" ht="10.5">
      <c r="D165" s="5" t="str">
        <f>D81</f>
        <v>Amortization</v>
      </c>
      <c r="J165" s="97">
        <f>J81</f>
        <v>-0.625</v>
      </c>
      <c r="K165" s="97">
        <f aca="true" t="shared" si="66" ref="K165:Q165">K81</f>
        <v>-0.640625</v>
      </c>
      <c r="L165" s="97">
        <f t="shared" si="66"/>
        <v>-0.656640625</v>
      </c>
      <c r="M165" s="97">
        <f t="shared" si="66"/>
        <v>-0.6730566406249999</v>
      </c>
      <c r="N165" s="97">
        <f t="shared" si="66"/>
        <v>-0.6898830566406249</v>
      </c>
      <c r="O165" s="97">
        <f t="shared" si="66"/>
        <v>-0.7071301330566404</v>
      </c>
      <c r="P165" s="97">
        <f t="shared" si="66"/>
        <v>-0.7248083863830563</v>
      </c>
      <c r="Q165" s="97">
        <f t="shared" si="66"/>
        <v>-0.7429285960426327</v>
      </c>
    </row>
    <row r="166" spans="4:17" ht="10.5">
      <c r="D166" s="5" t="str">
        <f>E110</f>
        <v>Interest Expense</v>
      </c>
      <c r="E166" s="5"/>
      <c r="J166" s="97">
        <f>-J110</f>
        <v>-3.25</v>
      </c>
      <c r="K166" s="97">
        <f aca="true" t="shared" si="67" ref="K166:Q166">-K110</f>
        <v>-3.25</v>
      </c>
      <c r="L166" s="97">
        <f t="shared" si="67"/>
        <v>-3.25</v>
      </c>
      <c r="M166" s="97">
        <f t="shared" si="67"/>
        <v>-3.25</v>
      </c>
      <c r="N166" s="97">
        <f t="shared" si="67"/>
        <v>-3.4125</v>
      </c>
      <c r="O166" s="97">
        <f t="shared" si="67"/>
        <v>-3.575</v>
      </c>
      <c r="P166" s="97">
        <f t="shared" si="67"/>
        <v>-3.575</v>
      </c>
      <c r="Q166" s="97">
        <f t="shared" si="67"/>
        <v>-3.575</v>
      </c>
    </row>
    <row r="167" spans="4:17" ht="10.5">
      <c r="D167" s="110" t="s">
        <v>6</v>
      </c>
      <c r="J167" s="128">
        <f>SUM(J161:J166)</f>
        <v>42.625</v>
      </c>
      <c r="K167" s="128">
        <f aca="true" t="shared" si="68" ref="K167:Q167">SUM(K161:K166)</f>
        <v>43.771875</v>
      </c>
      <c r="L167" s="128">
        <f t="shared" si="68"/>
        <v>44.947421875</v>
      </c>
      <c r="M167" s="128">
        <f t="shared" si="68"/>
        <v>46.15235742187501</v>
      </c>
      <c r="N167" s="128">
        <f t="shared" si="68"/>
        <v>47.22491635742189</v>
      </c>
      <c r="O167" s="128">
        <f t="shared" si="68"/>
        <v>48.32835176635743</v>
      </c>
      <c r="P167" s="128">
        <f t="shared" si="68"/>
        <v>49.62593556051636</v>
      </c>
      <c r="Q167" s="128">
        <f t="shared" si="68"/>
        <v>50.95595894952925</v>
      </c>
    </row>
    <row r="168" spans="10:17" ht="10.5">
      <c r="J168" s="97"/>
      <c r="K168" s="97"/>
      <c r="L168" s="97"/>
      <c r="M168" s="97"/>
      <c r="N168" s="97"/>
      <c r="O168" s="97"/>
      <c r="P168" s="97"/>
      <c r="Q168" s="97"/>
    </row>
    <row r="169" spans="4:17" ht="10.5">
      <c r="D169" s="110" t="s">
        <v>7</v>
      </c>
      <c r="J169" s="141">
        <f aca="true" t="shared" si="69" ref="J169:Q169">J167</f>
        <v>42.625</v>
      </c>
      <c r="K169" s="141">
        <f t="shared" si="69"/>
        <v>43.771875</v>
      </c>
      <c r="L169" s="141">
        <f t="shared" si="69"/>
        <v>44.947421875</v>
      </c>
      <c r="M169" s="141">
        <f t="shared" si="69"/>
        <v>46.15235742187501</v>
      </c>
      <c r="N169" s="141">
        <f t="shared" si="69"/>
        <v>47.22491635742189</v>
      </c>
      <c r="O169" s="141">
        <f t="shared" si="69"/>
        <v>48.32835176635743</v>
      </c>
      <c r="P169" s="141">
        <f t="shared" si="69"/>
        <v>49.62593556051636</v>
      </c>
      <c r="Q169" s="141">
        <f t="shared" si="69"/>
        <v>50.95595894952925</v>
      </c>
    </row>
    <row r="171" spans="4:17" ht="10.5">
      <c r="D171" s="5" t="str">
        <f>Fcast_TA!D106</f>
        <v>Corporate Taxation Rate</v>
      </c>
      <c r="J171" s="119">
        <f>Fcast_TA!$J$106</f>
        <v>0.3</v>
      </c>
      <c r="K171" s="119">
        <f>Fcast_TA!$J$106</f>
        <v>0.3</v>
      </c>
      <c r="L171" s="119">
        <f>Fcast_TA!$J$106</f>
        <v>0.3</v>
      </c>
      <c r="M171" s="119">
        <f>Fcast_TA!$J$106</f>
        <v>0.3</v>
      </c>
      <c r="N171" s="119">
        <f>Fcast_TA!$J$106</f>
        <v>0.3</v>
      </c>
      <c r="O171" s="119">
        <f>Fcast_TA!$J$106</f>
        <v>0.3</v>
      </c>
      <c r="P171" s="119">
        <f>Fcast_TA!$J$106</f>
        <v>0.3</v>
      </c>
      <c r="Q171" s="119">
        <f>Fcast_TA!$J$106</f>
        <v>0.3</v>
      </c>
    </row>
    <row r="173" spans="4:17" ht="11.25" thickBot="1">
      <c r="D173" s="110" t="s">
        <v>8</v>
      </c>
      <c r="J173" s="140">
        <f aca="true" t="shared" si="70" ref="J173:Q173">J169*J171</f>
        <v>12.7875</v>
      </c>
      <c r="K173" s="140">
        <f t="shared" si="70"/>
        <v>13.1315625</v>
      </c>
      <c r="L173" s="140">
        <f t="shared" si="70"/>
        <v>13.4842265625</v>
      </c>
      <c r="M173" s="140">
        <f t="shared" si="70"/>
        <v>13.845707226562503</v>
      </c>
      <c r="N173" s="140">
        <f t="shared" si="70"/>
        <v>14.167474907226566</v>
      </c>
      <c r="O173" s="140">
        <f t="shared" si="70"/>
        <v>14.498505529907227</v>
      </c>
      <c r="P173" s="140">
        <f t="shared" si="70"/>
        <v>14.887780668154907</v>
      </c>
      <c r="Q173" s="140">
        <f t="shared" si="70"/>
        <v>15.286787684858773</v>
      </c>
    </row>
    <row r="174" ht="11.25" thickTop="1"/>
    <row r="175" ht="11.25">
      <c r="C175" s="96" t="s">
        <v>502</v>
      </c>
    </row>
    <row r="177" spans="4:17" ht="10.5">
      <c r="D177" s="6" t="s">
        <v>247</v>
      </c>
      <c r="J177" s="97">
        <f>IF(J$12=1,Fcast_TA!$J$102,I180)</f>
        <v>3.5</v>
      </c>
      <c r="K177" s="97">
        <f>IF(K$12=1,Fcast_TA!$J$102,J180)</f>
        <v>12.787500000000001</v>
      </c>
      <c r="L177" s="97">
        <f>IF(L$12=1,Fcast_TA!$J$102,K180)</f>
        <v>13.131562500000003</v>
      </c>
      <c r="M177" s="97">
        <f>IF(M$12=1,Fcast_TA!$J$102,L180)</f>
        <v>13.484226562500004</v>
      </c>
      <c r="N177" s="97">
        <f>IF(N$12=1,Fcast_TA!$J$102,M180)</f>
        <v>13.845707226562508</v>
      </c>
      <c r="O177" s="97">
        <f>IF(O$12=1,Fcast_TA!$J$102,N180)</f>
        <v>14.16747490722657</v>
      </c>
      <c r="P177" s="97">
        <f>IF(P$12=1,Fcast_TA!$J$102,O180)</f>
        <v>14.49850552990723</v>
      </c>
      <c r="Q177" s="97">
        <f>IF(Q$12=1,Fcast_TA!$J$102,P180)</f>
        <v>14.88778066815491</v>
      </c>
    </row>
    <row r="178" spans="4:17" ht="10.5">
      <c r="D178" s="5" t="str">
        <f>D173</f>
        <v>Tax Expense / (Benefit)</v>
      </c>
      <c r="J178" s="97">
        <f>J173</f>
        <v>12.7875</v>
      </c>
      <c r="K178" s="97">
        <f aca="true" t="shared" si="71" ref="K178:Q178">K173</f>
        <v>13.1315625</v>
      </c>
      <c r="L178" s="97">
        <f t="shared" si="71"/>
        <v>13.4842265625</v>
      </c>
      <c r="M178" s="97">
        <f t="shared" si="71"/>
        <v>13.845707226562503</v>
      </c>
      <c r="N178" s="97">
        <f t="shared" si="71"/>
        <v>14.167474907226566</v>
      </c>
      <c r="O178" s="97">
        <f t="shared" si="71"/>
        <v>14.498505529907227</v>
      </c>
      <c r="P178" s="97">
        <f t="shared" si="71"/>
        <v>14.887780668154907</v>
      </c>
      <c r="Q178" s="97">
        <f t="shared" si="71"/>
        <v>15.286787684858773</v>
      </c>
    </row>
    <row r="179" spans="4:17" ht="10.5">
      <c r="D179" s="6" t="s">
        <v>488</v>
      </c>
      <c r="J179" s="99">
        <f>IF(J$12=1,-J177,-I178)</f>
        <v>-3.5</v>
      </c>
      <c r="K179" s="99">
        <f aca="true" t="shared" si="72" ref="K179:Q179">IF(K$12=1,-K177,-J178)</f>
        <v>-12.7875</v>
      </c>
      <c r="L179" s="99">
        <f t="shared" si="72"/>
        <v>-13.1315625</v>
      </c>
      <c r="M179" s="99">
        <f t="shared" si="72"/>
        <v>-13.4842265625</v>
      </c>
      <c r="N179" s="99">
        <f t="shared" si="72"/>
        <v>-13.845707226562503</v>
      </c>
      <c r="O179" s="99">
        <f t="shared" si="72"/>
        <v>-14.167474907226566</v>
      </c>
      <c r="P179" s="99">
        <f t="shared" si="72"/>
        <v>-14.498505529907227</v>
      </c>
      <c r="Q179" s="99">
        <f t="shared" si="72"/>
        <v>-14.887780668154907</v>
      </c>
    </row>
    <row r="180" spans="4:17" ht="10.5">
      <c r="D180" s="110" t="s">
        <v>411</v>
      </c>
      <c r="J180" s="100">
        <f>SUM(J177:J179)</f>
        <v>12.787500000000001</v>
      </c>
      <c r="K180" s="100">
        <f aca="true" t="shared" si="73" ref="K180:Q180">SUM(K177:K179)</f>
        <v>13.131562500000003</v>
      </c>
      <c r="L180" s="100">
        <f t="shared" si="73"/>
        <v>13.484226562500004</v>
      </c>
      <c r="M180" s="100">
        <f t="shared" si="73"/>
        <v>13.845707226562508</v>
      </c>
      <c r="N180" s="100">
        <f t="shared" si="73"/>
        <v>14.16747490722657</v>
      </c>
      <c r="O180" s="100">
        <f t="shared" si="73"/>
        <v>14.49850552990723</v>
      </c>
      <c r="P180" s="100">
        <f t="shared" si="73"/>
        <v>14.88778066815491</v>
      </c>
      <c r="Q180" s="100">
        <f t="shared" si="73"/>
        <v>15.286787684858776</v>
      </c>
    </row>
    <row r="183" ht="12.75">
      <c r="B183" s="120" t="s">
        <v>504</v>
      </c>
    </row>
    <row r="185" ht="11.25">
      <c r="C185" s="126" t="str">
        <f>Fcast_TA!D123&amp;" ("&amp;INDEX(LU_Denom,DD_TS_Denom)&amp;")"</f>
        <v>Other Current Assets ($Millions)</v>
      </c>
    </row>
    <row r="187" spans="4:17" ht="10.5">
      <c r="D187" s="6" t="s">
        <v>247</v>
      </c>
      <c r="J187" s="97">
        <f>IF(J$12=1,Fcast_TA!$I$123,I189)</f>
        <v>2</v>
      </c>
      <c r="K187" s="97">
        <f>IF(K$12=1,Fcast_TA!$I$123,J189)</f>
        <v>3</v>
      </c>
      <c r="L187" s="97">
        <f>IF(L$12=1,Fcast_TA!$I$123,K189)</f>
        <v>4</v>
      </c>
      <c r="M187" s="97">
        <f>IF(M$12=1,Fcast_TA!$I$123,L189)</f>
        <v>5</v>
      </c>
      <c r="N187" s="97">
        <f>IF(N$12=1,Fcast_TA!$I$123,M189)</f>
        <v>6</v>
      </c>
      <c r="O187" s="97">
        <f>IF(O$12=1,Fcast_TA!$I$123,N189)</f>
        <v>7</v>
      </c>
      <c r="P187" s="97">
        <f>IF(P$12=1,Fcast_TA!$I$123,O189)</f>
        <v>8</v>
      </c>
      <c r="Q187" s="97">
        <f>IF(Q$12=1,Fcast_TA!$I$123,P189)</f>
        <v>9</v>
      </c>
    </row>
    <row r="188" spans="4:17" ht="10.5">
      <c r="D188" s="6" t="s">
        <v>505</v>
      </c>
      <c r="J188" s="99">
        <f>J189-J187</f>
        <v>1</v>
      </c>
      <c r="K188" s="99">
        <f aca="true" t="shared" si="74" ref="K188:Q188">K189-K187</f>
        <v>1</v>
      </c>
      <c r="L188" s="99">
        <f t="shared" si="74"/>
        <v>1</v>
      </c>
      <c r="M188" s="99">
        <f t="shared" si="74"/>
        <v>1</v>
      </c>
      <c r="N188" s="99">
        <f t="shared" si="74"/>
        <v>1</v>
      </c>
      <c r="O188" s="99">
        <f t="shared" si="74"/>
        <v>1</v>
      </c>
      <c r="P188" s="99">
        <f t="shared" si="74"/>
        <v>1</v>
      </c>
      <c r="Q188" s="99">
        <f t="shared" si="74"/>
        <v>1</v>
      </c>
    </row>
    <row r="189" spans="4:17" ht="10.5">
      <c r="D189" s="110" t="s">
        <v>411</v>
      </c>
      <c r="J189" s="100">
        <f>Fcast_TA!J123</f>
        <v>3</v>
      </c>
      <c r="K189" s="100">
        <f>Fcast_TA!K123</f>
        <v>4</v>
      </c>
      <c r="L189" s="100">
        <f>Fcast_TA!L123</f>
        <v>5</v>
      </c>
      <c r="M189" s="100">
        <f>Fcast_TA!M123</f>
        <v>6</v>
      </c>
      <c r="N189" s="100">
        <f>Fcast_TA!N123</f>
        <v>7</v>
      </c>
      <c r="O189" s="100">
        <f>Fcast_TA!O123</f>
        <v>8</v>
      </c>
      <c r="P189" s="100">
        <f>Fcast_TA!P123</f>
        <v>9</v>
      </c>
      <c r="Q189" s="100">
        <f>Fcast_TA!Q123</f>
        <v>10</v>
      </c>
    </row>
    <row r="191" ht="11.25">
      <c r="C191" s="126" t="str">
        <f>Fcast_TA!D124&amp;" ("&amp;INDEX(LU_Denom,DD_TS_Denom)&amp;")"</f>
        <v>Other Current Liabilities ($Millions)</v>
      </c>
    </row>
    <row r="193" spans="4:17" ht="10.5">
      <c r="D193" s="6" t="s">
        <v>247</v>
      </c>
      <c r="J193" s="97">
        <f>IF(J$12=1,Fcast_TA!$I$124,I195)</f>
        <v>3</v>
      </c>
      <c r="K193" s="97">
        <f>IF(K$12=1,Fcast_TA!$I$124,J195)</f>
        <v>4</v>
      </c>
      <c r="L193" s="97">
        <f>IF(L$12=1,Fcast_TA!$I$124,K195)</f>
        <v>5</v>
      </c>
      <c r="M193" s="97">
        <f>IF(M$12=1,Fcast_TA!$I$124,L195)</f>
        <v>6</v>
      </c>
      <c r="N193" s="97">
        <f>IF(N$12=1,Fcast_TA!$I$124,M195)</f>
        <v>7</v>
      </c>
      <c r="O193" s="97">
        <f>IF(O$12=1,Fcast_TA!$I$124,N195)</f>
        <v>8</v>
      </c>
      <c r="P193" s="97">
        <f>IF(P$12=1,Fcast_TA!$I$124,O195)</f>
        <v>9</v>
      </c>
      <c r="Q193" s="97">
        <f>IF(Q$12=1,Fcast_TA!$I$124,P195)</f>
        <v>10</v>
      </c>
    </row>
    <row r="194" spans="4:17" ht="10.5">
      <c r="D194" s="6" t="s">
        <v>505</v>
      </c>
      <c r="J194" s="99">
        <f>J195-J193</f>
        <v>1</v>
      </c>
      <c r="K194" s="99">
        <f aca="true" t="shared" si="75" ref="K194:Q194">K195-K193</f>
        <v>1</v>
      </c>
      <c r="L194" s="99">
        <f t="shared" si="75"/>
        <v>1</v>
      </c>
      <c r="M194" s="99">
        <f t="shared" si="75"/>
        <v>1</v>
      </c>
      <c r="N194" s="99">
        <f t="shared" si="75"/>
        <v>1</v>
      </c>
      <c r="O194" s="99">
        <f t="shared" si="75"/>
        <v>1</v>
      </c>
      <c r="P194" s="99">
        <f t="shared" si="75"/>
        <v>1</v>
      </c>
      <c r="Q194" s="99">
        <f t="shared" si="75"/>
        <v>1</v>
      </c>
    </row>
    <row r="195" spans="4:17" ht="10.5">
      <c r="D195" s="110" t="s">
        <v>411</v>
      </c>
      <c r="J195" s="100">
        <f>Fcast_TA!J124</f>
        <v>4</v>
      </c>
      <c r="K195" s="100">
        <f>Fcast_TA!K124</f>
        <v>5</v>
      </c>
      <c r="L195" s="100">
        <f>Fcast_TA!L124</f>
        <v>6</v>
      </c>
      <c r="M195" s="100">
        <f>Fcast_TA!M124</f>
        <v>7</v>
      </c>
      <c r="N195" s="100">
        <f>Fcast_TA!N124</f>
        <v>8</v>
      </c>
      <c r="O195" s="100">
        <f>Fcast_TA!O124</f>
        <v>9</v>
      </c>
      <c r="P195" s="100">
        <f>Fcast_TA!P124</f>
        <v>10</v>
      </c>
      <c r="Q195" s="100">
        <f>Fcast_TA!Q124</f>
        <v>11</v>
      </c>
    </row>
    <row r="197" ht="11.25">
      <c r="C197" s="126" t="str">
        <f>Fcast_TA!D125&amp;" ("&amp;INDEX(LU_Denom,DD_TS_Denom)&amp;")"</f>
        <v>Other Non-Current Assets ($Millions)</v>
      </c>
    </row>
    <row r="199" spans="4:17" ht="10.5">
      <c r="D199" s="6" t="s">
        <v>247</v>
      </c>
      <c r="J199" s="97">
        <f>IF(J$12=1,Fcast_TA!$I$125,I201)</f>
        <v>4</v>
      </c>
      <c r="K199" s="97">
        <f>IF(K$12=1,Fcast_TA!$I$125,J201)</f>
        <v>5</v>
      </c>
      <c r="L199" s="97">
        <f>IF(L$12=1,Fcast_TA!$I$125,K201)</f>
        <v>6</v>
      </c>
      <c r="M199" s="97">
        <f>IF(M$12=1,Fcast_TA!$I$125,L201)</f>
        <v>7</v>
      </c>
      <c r="N199" s="97">
        <f>IF(N$12=1,Fcast_TA!$I$125,M201)</f>
        <v>8</v>
      </c>
      <c r="O199" s="97">
        <f>IF(O$12=1,Fcast_TA!$I$125,N201)</f>
        <v>9</v>
      </c>
      <c r="P199" s="97">
        <f>IF(P$12=1,Fcast_TA!$I$125,O201)</f>
        <v>10</v>
      </c>
      <c r="Q199" s="97">
        <f>IF(Q$12=1,Fcast_TA!$I$125,P201)</f>
        <v>11</v>
      </c>
    </row>
    <row r="200" spans="4:17" ht="10.5">
      <c r="D200" s="6" t="s">
        <v>505</v>
      </c>
      <c r="J200" s="99">
        <f>J201-J199</f>
        <v>1</v>
      </c>
      <c r="K200" s="99">
        <f aca="true" t="shared" si="76" ref="K200:Q200">K201-K199</f>
        <v>1</v>
      </c>
      <c r="L200" s="99">
        <f t="shared" si="76"/>
        <v>1</v>
      </c>
      <c r="M200" s="99">
        <f t="shared" si="76"/>
        <v>1</v>
      </c>
      <c r="N200" s="99">
        <f t="shared" si="76"/>
        <v>1</v>
      </c>
      <c r="O200" s="99">
        <f t="shared" si="76"/>
        <v>1</v>
      </c>
      <c r="P200" s="99">
        <f t="shared" si="76"/>
        <v>1</v>
      </c>
      <c r="Q200" s="99">
        <f t="shared" si="76"/>
        <v>1</v>
      </c>
    </row>
    <row r="201" spans="4:17" ht="10.5">
      <c r="D201" s="110" t="s">
        <v>411</v>
      </c>
      <c r="J201" s="100">
        <f>Fcast_TA!J125</f>
        <v>5</v>
      </c>
      <c r="K201" s="100">
        <f>Fcast_TA!K125</f>
        <v>6</v>
      </c>
      <c r="L201" s="100">
        <f>Fcast_TA!L125</f>
        <v>7</v>
      </c>
      <c r="M201" s="100">
        <f>Fcast_TA!M125</f>
        <v>8</v>
      </c>
      <c r="N201" s="100">
        <f>Fcast_TA!N125</f>
        <v>9</v>
      </c>
      <c r="O201" s="100">
        <f>Fcast_TA!O125</f>
        <v>10</v>
      </c>
      <c r="P201" s="100">
        <f>Fcast_TA!P125</f>
        <v>11</v>
      </c>
      <c r="Q201" s="100">
        <f>Fcast_TA!Q125</f>
        <v>12</v>
      </c>
    </row>
    <row r="203" ht="11.25">
      <c r="C203" s="126" t="str">
        <f>Fcast_TA!D126&amp;" ("&amp;INDEX(LU_Denom,DD_TS_Denom)&amp;")"</f>
        <v>Other Non-Current Liabilities ($Millions)</v>
      </c>
    </row>
    <row r="205" spans="4:17" ht="10.5">
      <c r="D205" s="6" t="s">
        <v>247</v>
      </c>
      <c r="J205" s="97">
        <f>IF(J$12=1,Fcast_TA!$I$126,I207)</f>
        <v>5</v>
      </c>
      <c r="K205" s="97">
        <f>IF(K$12=1,Fcast_TA!$I$126,J207)</f>
        <v>6</v>
      </c>
      <c r="L205" s="97">
        <f>IF(L$12=1,Fcast_TA!$I$126,K207)</f>
        <v>7</v>
      </c>
      <c r="M205" s="97">
        <f>IF(M$12=1,Fcast_TA!$I$126,L207)</f>
        <v>8</v>
      </c>
      <c r="N205" s="97">
        <f>IF(N$12=1,Fcast_TA!$I$126,M207)</f>
        <v>9</v>
      </c>
      <c r="O205" s="97">
        <f>IF(O$12=1,Fcast_TA!$I$126,N207)</f>
        <v>10</v>
      </c>
      <c r="P205" s="97">
        <f>IF(P$12=1,Fcast_TA!$I$126,O207)</f>
        <v>11</v>
      </c>
      <c r="Q205" s="97">
        <f>IF(Q$12=1,Fcast_TA!$I$126,P207)</f>
        <v>12</v>
      </c>
    </row>
    <row r="206" spans="4:17" ht="10.5">
      <c r="D206" s="6" t="s">
        <v>505</v>
      </c>
      <c r="J206" s="99">
        <f>J207-J205</f>
        <v>1</v>
      </c>
      <c r="K206" s="99">
        <f aca="true" t="shared" si="77" ref="K206:Q206">K207-K205</f>
        <v>1</v>
      </c>
      <c r="L206" s="99">
        <f t="shared" si="77"/>
        <v>1</v>
      </c>
      <c r="M206" s="99">
        <f t="shared" si="77"/>
        <v>1</v>
      </c>
      <c r="N206" s="99">
        <f t="shared" si="77"/>
        <v>1</v>
      </c>
      <c r="O206" s="99">
        <f t="shared" si="77"/>
        <v>1</v>
      </c>
      <c r="P206" s="99">
        <f t="shared" si="77"/>
        <v>1</v>
      </c>
      <c r="Q206" s="99">
        <f t="shared" si="77"/>
        <v>1</v>
      </c>
    </row>
    <row r="207" spans="4:17" ht="10.5">
      <c r="D207" s="110" t="s">
        <v>411</v>
      </c>
      <c r="J207" s="100">
        <f>Fcast_TA!J126</f>
        <v>6</v>
      </c>
      <c r="K207" s="100">
        <f>Fcast_TA!K126</f>
        <v>7</v>
      </c>
      <c r="L207" s="100">
        <f>Fcast_TA!L126</f>
        <v>8</v>
      </c>
      <c r="M207" s="100">
        <f>Fcast_TA!M126</f>
        <v>9</v>
      </c>
      <c r="N207" s="100">
        <f>Fcast_TA!N126</f>
        <v>10</v>
      </c>
      <c r="O207" s="100">
        <f>Fcast_TA!O126</f>
        <v>11</v>
      </c>
      <c r="P207" s="100">
        <f>Fcast_TA!P126</f>
        <v>12</v>
      </c>
      <c r="Q207" s="100">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520</v>
      </c>
    </row>
    <row r="10" ht="16.5">
      <c r="C10" s="25" t="s">
        <v>528</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7.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"Income Statement - Base Case ("&amp;INDEX(LU_Denom,DD_TS_Denom)&amp;")"</f>
        <v>Income Statement - Base Case ($Millions)</v>
      </c>
    </row>
    <row r="18" spans="4:17" ht="10.5">
      <c r="D18" s="5" t="str">
        <f>Fcast_TO!C18</f>
        <v>Revenue</v>
      </c>
      <c r="J18" s="97">
        <f>Fcast_TO!J18</f>
        <v>125</v>
      </c>
      <c r="K18" s="97">
        <f>Fcast_TO!K18</f>
        <v>128.125</v>
      </c>
      <c r="L18" s="97">
        <f>Fcast_TO!L18</f>
        <v>131.328125</v>
      </c>
      <c r="M18" s="97">
        <f>Fcast_TO!M18</f>
        <v>134.611328125</v>
      </c>
      <c r="N18" s="97">
        <f>Fcast_TO!N18</f>
        <v>137.976611328125</v>
      </c>
      <c r="O18" s="97">
        <f>Fcast_TO!O18</f>
        <v>141.4260266113281</v>
      </c>
      <c r="P18" s="97">
        <f>Fcast_TO!P18</f>
        <v>144.96167727661128</v>
      </c>
      <c r="Q18" s="97">
        <f>Fcast_TO!Q18</f>
        <v>148.58571920852654</v>
      </c>
    </row>
    <row r="19" spans="4:17" ht="10.5">
      <c r="D19" s="5" t="str">
        <f>Fcast_TO!C19</f>
        <v>Cost of Goods Sold</v>
      </c>
      <c r="J19" s="97">
        <f>-Fcast_TO!J19</f>
        <v>-25</v>
      </c>
      <c r="K19" s="97">
        <f>-Fcast_TO!K19</f>
        <v>-25.624999999999996</v>
      </c>
      <c r="L19" s="97">
        <f>-Fcast_TO!L19</f>
        <v>-26.265624999999993</v>
      </c>
      <c r="M19" s="97">
        <f>-Fcast_TO!M19</f>
        <v>-26.92226562499999</v>
      </c>
      <c r="N19" s="97">
        <f>-Fcast_TO!N19</f>
        <v>-27.59532226562499</v>
      </c>
      <c r="O19" s="97">
        <f>-Fcast_TO!O19</f>
        <v>-28.28520532226561</v>
      </c>
      <c r="P19" s="97">
        <f>-Fcast_TO!P19</f>
        <v>-28.992335455322248</v>
      </c>
      <c r="Q19" s="97">
        <f>-Fcast_TO!Q19</f>
        <v>-29.7171438417053</v>
      </c>
    </row>
    <row r="20" spans="10:17" ht="10.5">
      <c r="J20" s="97"/>
      <c r="K20" s="97"/>
      <c r="L20" s="97"/>
      <c r="M20" s="97"/>
      <c r="N20" s="97"/>
      <c r="O20" s="97"/>
      <c r="P20" s="97"/>
      <c r="Q20" s="97"/>
    </row>
    <row r="21" spans="3:17" ht="11.25">
      <c r="C21" s="96" t="s">
        <v>483</v>
      </c>
      <c r="J21" s="141">
        <f aca="true" t="shared" si="8" ref="J21:Q21">J18+J19</f>
        <v>100</v>
      </c>
      <c r="K21" s="141">
        <f t="shared" si="8"/>
        <v>102.5</v>
      </c>
      <c r="L21" s="141">
        <f t="shared" si="8"/>
        <v>105.0625</v>
      </c>
      <c r="M21" s="141">
        <f t="shared" si="8"/>
        <v>107.6890625</v>
      </c>
      <c r="N21" s="141">
        <f t="shared" si="8"/>
        <v>110.3812890625</v>
      </c>
      <c r="O21" s="141">
        <f t="shared" si="8"/>
        <v>113.14082128906249</v>
      </c>
      <c r="P21" s="141">
        <f t="shared" si="8"/>
        <v>115.96934182128904</v>
      </c>
      <c r="Q21" s="141">
        <f t="shared" si="8"/>
        <v>118.86857536682123</v>
      </c>
    </row>
    <row r="22" spans="10:17" ht="10.5">
      <c r="J22" s="97"/>
      <c r="K22" s="97"/>
      <c r="L22" s="97"/>
      <c r="M22" s="97"/>
      <c r="N22" s="97"/>
      <c r="O22" s="97"/>
      <c r="P22" s="97"/>
      <c r="Q22" s="97"/>
    </row>
    <row r="23" spans="4:17" ht="10.5">
      <c r="D23" s="5" t="str">
        <f>Fcast_TO!C20</f>
        <v>Operating Expenditure</v>
      </c>
      <c r="J23" s="97">
        <f>-Fcast_TO!J20</f>
        <v>-40</v>
      </c>
      <c r="K23" s="97">
        <f>-Fcast_TO!K20</f>
        <v>-41</v>
      </c>
      <c r="L23" s="97">
        <f>-Fcast_TO!L20</f>
        <v>-42.025</v>
      </c>
      <c r="M23" s="97">
        <f>-Fcast_TO!M20</f>
        <v>-43.075624999999995</v>
      </c>
      <c r="N23" s="97">
        <f>-Fcast_TO!N20</f>
        <v>-44.15251562499999</v>
      </c>
      <c r="O23" s="97">
        <f>-Fcast_TO!O20</f>
        <v>-45.256328515624986</v>
      </c>
      <c r="P23" s="97">
        <f>-Fcast_TO!P20</f>
        <v>-46.387736728515605</v>
      </c>
      <c r="Q23" s="97">
        <f>-Fcast_TO!Q20</f>
        <v>-47.547430146728495</v>
      </c>
    </row>
    <row r="24" spans="10:17" ht="10.5">
      <c r="J24" s="97"/>
      <c r="K24" s="97"/>
      <c r="L24" s="97"/>
      <c r="M24" s="97"/>
      <c r="N24" s="97"/>
      <c r="O24" s="97"/>
      <c r="P24" s="97"/>
      <c r="Q24" s="97"/>
    </row>
    <row r="25" spans="3:17" ht="11.25">
      <c r="C25" s="96" t="s">
        <v>11</v>
      </c>
      <c r="J25" s="141">
        <f>J21+J23</f>
        <v>60</v>
      </c>
      <c r="K25" s="141">
        <f aca="true" t="shared" si="9" ref="K25:Q25">K21+K23</f>
        <v>61.5</v>
      </c>
      <c r="L25" s="141">
        <f t="shared" si="9"/>
        <v>63.0375</v>
      </c>
      <c r="M25" s="141">
        <f t="shared" si="9"/>
        <v>64.6134375</v>
      </c>
      <c r="N25" s="141">
        <f t="shared" si="9"/>
        <v>66.22877343750001</v>
      </c>
      <c r="O25" s="141">
        <f t="shared" si="9"/>
        <v>67.8844927734375</v>
      </c>
      <c r="P25" s="141">
        <f t="shared" si="9"/>
        <v>69.58160509277343</v>
      </c>
      <c r="Q25" s="141">
        <f t="shared" si="9"/>
        <v>71.32114522009275</v>
      </c>
    </row>
    <row r="26" spans="10:17" ht="10.5">
      <c r="J26" s="97"/>
      <c r="K26" s="97"/>
      <c r="L26" s="97"/>
      <c r="M26" s="97"/>
      <c r="N26" s="97"/>
      <c r="O26" s="97"/>
      <c r="P26" s="97"/>
      <c r="Q26" s="97"/>
    </row>
    <row r="27" spans="5:17" ht="10.5" hidden="1" outlineLevel="2">
      <c r="E27" s="5" t="str">
        <f>Fcast_TO!D69</f>
        <v>Depreciation</v>
      </c>
      <c r="J27" s="97">
        <f>Fcast_TO!J69</f>
        <v>-13.5</v>
      </c>
      <c r="K27" s="97">
        <f>Fcast_TO!K69</f>
        <v>-13.837499999999999</v>
      </c>
      <c r="L27" s="97">
        <f>Fcast_TO!L69</f>
        <v>-14.183437499999997</v>
      </c>
      <c r="M27" s="97">
        <f>Fcast_TO!M69</f>
        <v>-14.538023437499994</v>
      </c>
      <c r="N27" s="97">
        <f>Fcast_TO!N69</f>
        <v>-14.901474023437492</v>
      </c>
      <c r="O27" s="97">
        <f>Fcast_TO!O69</f>
        <v>-15.274010874023428</v>
      </c>
      <c r="P27" s="97">
        <f>Fcast_TO!P69</f>
        <v>-15.655861145874013</v>
      </c>
      <c r="Q27" s="97">
        <f>Fcast_TO!Q69</f>
        <v>-16.04725767452086</v>
      </c>
    </row>
    <row r="28" spans="5:17" ht="10.5" hidden="1" outlineLevel="2">
      <c r="E28" s="5" t="str">
        <f>Fcast_TO!D81</f>
        <v>Amortization</v>
      </c>
      <c r="J28" s="123">
        <f>Fcast_TO!J81</f>
        <v>-0.625</v>
      </c>
      <c r="K28" s="123">
        <f>Fcast_TO!K81</f>
        <v>-0.640625</v>
      </c>
      <c r="L28" s="123">
        <f>Fcast_TO!L81</f>
        <v>-0.656640625</v>
      </c>
      <c r="M28" s="123">
        <f>Fcast_TO!M81</f>
        <v>-0.6730566406249999</v>
      </c>
      <c r="N28" s="123">
        <f>Fcast_TO!N81</f>
        <v>-0.6898830566406249</v>
      </c>
      <c r="O28" s="123">
        <f>Fcast_TO!O81</f>
        <v>-0.7071301330566404</v>
      </c>
      <c r="P28" s="123">
        <f>Fcast_TO!P81</f>
        <v>-0.7248083863830563</v>
      </c>
      <c r="Q28" s="123">
        <f>Fcast_TO!Q81</f>
        <v>-0.7429285960426327</v>
      </c>
    </row>
    <row r="29" spans="4:17" ht="10.5" collapsed="1">
      <c r="D29" s="6" t="s">
        <v>484</v>
      </c>
      <c r="J29" s="97">
        <f>SUM(J27:J28)</f>
        <v>-14.125</v>
      </c>
      <c r="K29" s="97">
        <f aca="true" t="shared" si="10" ref="K29:Q29">SUM(K27:K28)</f>
        <v>-14.478124999999999</v>
      </c>
      <c r="L29" s="97">
        <f t="shared" si="10"/>
        <v>-14.840078124999996</v>
      </c>
      <c r="M29" s="97">
        <f t="shared" si="10"/>
        <v>-15.211080078124994</v>
      </c>
      <c r="N29" s="97">
        <f t="shared" si="10"/>
        <v>-15.591357080078117</v>
      </c>
      <c r="O29" s="97">
        <f t="shared" si="10"/>
        <v>-15.981141007080069</v>
      </c>
      <c r="P29" s="97">
        <f t="shared" si="10"/>
        <v>-16.38066953225707</v>
      </c>
      <c r="Q29" s="97">
        <f t="shared" si="10"/>
        <v>-16.790186270563492</v>
      </c>
    </row>
    <row r="30" spans="10:17" ht="10.5">
      <c r="J30" s="97"/>
      <c r="K30" s="97"/>
      <c r="L30" s="97"/>
      <c r="M30" s="97"/>
      <c r="N30" s="97"/>
      <c r="O30" s="97"/>
      <c r="P30" s="97"/>
      <c r="Q30" s="97"/>
    </row>
    <row r="31" spans="3:17" ht="11.25">
      <c r="C31" s="96" t="s">
        <v>12</v>
      </c>
      <c r="J31" s="141">
        <f aca="true" t="shared" si="11" ref="J31:Q31">J25+J29</f>
        <v>45.875</v>
      </c>
      <c r="K31" s="141">
        <f t="shared" si="11"/>
        <v>47.021875</v>
      </c>
      <c r="L31" s="141">
        <f t="shared" si="11"/>
        <v>48.197421875</v>
      </c>
      <c r="M31" s="141">
        <f t="shared" si="11"/>
        <v>49.40235742187501</v>
      </c>
      <c r="N31" s="141">
        <f t="shared" si="11"/>
        <v>50.63741635742189</v>
      </c>
      <c r="O31" s="141">
        <f t="shared" si="11"/>
        <v>51.90335176635743</v>
      </c>
      <c r="P31" s="141">
        <f t="shared" si="11"/>
        <v>53.200935560516356</v>
      </c>
      <c r="Q31" s="141">
        <f t="shared" si="11"/>
        <v>54.53095894952925</v>
      </c>
    </row>
    <row r="32" spans="10:17" ht="10.5">
      <c r="J32" s="97"/>
      <c r="K32" s="97"/>
      <c r="L32" s="97"/>
      <c r="M32" s="97"/>
      <c r="N32" s="97"/>
      <c r="O32" s="97"/>
      <c r="P32" s="97"/>
      <c r="Q32" s="97"/>
    </row>
    <row r="33" spans="4:17" ht="10.5">
      <c r="D33" s="5" t="str">
        <f>Fcast_TO!E110</f>
        <v>Interest Expense</v>
      </c>
      <c r="J33" s="97">
        <f>-Fcast_TO!J110</f>
        <v>-3.25</v>
      </c>
      <c r="K33" s="97">
        <f>-Fcast_TO!K110</f>
        <v>-3.25</v>
      </c>
      <c r="L33" s="97">
        <f>-Fcast_TO!L110</f>
        <v>-3.25</v>
      </c>
      <c r="M33" s="97">
        <f>-Fcast_TO!M110</f>
        <v>-3.25</v>
      </c>
      <c r="N33" s="97">
        <f>-Fcast_TO!N110</f>
        <v>-3.4125</v>
      </c>
      <c r="O33" s="97">
        <f>-Fcast_TO!O110</f>
        <v>-3.575</v>
      </c>
      <c r="P33" s="97">
        <f>-Fcast_TO!P110</f>
        <v>-3.575</v>
      </c>
      <c r="Q33" s="97">
        <f>-Fcast_TO!Q110</f>
        <v>-3.575</v>
      </c>
    </row>
    <row r="34" spans="10:17" ht="10.5">
      <c r="J34" s="97"/>
      <c r="K34" s="97"/>
      <c r="L34" s="97"/>
      <c r="M34" s="97"/>
      <c r="N34" s="97"/>
      <c r="O34" s="97"/>
      <c r="P34" s="97"/>
      <c r="Q34" s="97"/>
    </row>
    <row r="35" spans="3:17" ht="11.25">
      <c r="C35" s="96" t="s">
        <v>13</v>
      </c>
      <c r="J35" s="141">
        <f aca="true" t="shared" si="12" ref="J35:Q35">J31+J33</f>
        <v>42.625</v>
      </c>
      <c r="K35" s="141">
        <f t="shared" si="12"/>
        <v>43.771875</v>
      </c>
      <c r="L35" s="141">
        <f t="shared" si="12"/>
        <v>44.947421875</v>
      </c>
      <c r="M35" s="141">
        <f t="shared" si="12"/>
        <v>46.15235742187501</v>
      </c>
      <c r="N35" s="141">
        <f t="shared" si="12"/>
        <v>47.22491635742189</v>
      </c>
      <c r="O35" s="141">
        <f t="shared" si="12"/>
        <v>48.32835176635743</v>
      </c>
      <c r="P35" s="141">
        <f t="shared" si="12"/>
        <v>49.62593556051635</v>
      </c>
      <c r="Q35" s="141">
        <f t="shared" si="12"/>
        <v>50.95595894952925</v>
      </c>
    </row>
    <row r="36" spans="10:17" ht="10.5">
      <c r="J36" s="97"/>
      <c r="K36" s="97"/>
      <c r="L36" s="97"/>
      <c r="M36" s="97"/>
      <c r="N36" s="97"/>
      <c r="O36" s="97"/>
      <c r="P36" s="97"/>
      <c r="Q36" s="97"/>
    </row>
    <row r="37" spans="4:17" ht="10.5">
      <c r="D37" s="5" t="str">
        <f>Fcast_TO!D173</f>
        <v>Tax Expense / (Benefit)</v>
      </c>
      <c r="J37" s="97">
        <f>-Fcast_TO!J173</f>
        <v>-12.7875</v>
      </c>
      <c r="K37" s="97">
        <f>-Fcast_TO!K173</f>
        <v>-13.1315625</v>
      </c>
      <c r="L37" s="97">
        <f>-Fcast_TO!L173</f>
        <v>-13.4842265625</v>
      </c>
      <c r="M37" s="97">
        <f>-Fcast_TO!M173</f>
        <v>-13.845707226562503</v>
      </c>
      <c r="N37" s="97">
        <f>-Fcast_TO!N173</f>
        <v>-14.167474907226566</v>
      </c>
      <c r="O37" s="97">
        <f>-Fcast_TO!O173</f>
        <v>-14.498505529907227</v>
      </c>
      <c r="P37" s="97">
        <f>-Fcast_TO!P173</f>
        <v>-14.887780668154907</v>
      </c>
      <c r="Q37" s="97">
        <f>-Fcast_TO!Q173</f>
        <v>-15.286787684858773</v>
      </c>
    </row>
    <row r="38" spans="10:17" ht="10.5">
      <c r="J38" s="97"/>
      <c r="K38" s="97"/>
      <c r="L38" s="97"/>
      <c r="M38" s="97"/>
      <c r="N38" s="97"/>
      <c r="O38" s="97"/>
      <c r="P38" s="97"/>
      <c r="Q38" s="97"/>
    </row>
    <row r="39" spans="3:17" ht="12.75" thickBot="1">
      <c r="C39" s="15" t="s">
        <v>14</v>
      </c>
      <c r="J39" s="140">
        <f aca="true" t="shared" si="13" ref="J39:Q39">J35+J37</f>
        <v>29.8375</v>
      </c>
      <c r="K39" s="140">
        <f t="shared" si="13"/>
        <v>30.6403125</v>
      </c>
      <c r="L39" s="140">
        <f t="shared" si="13"/>
        <v>31.463195312500005</v>
      </c>
      <c r="M39" s="140">
        <f t="shared" si="13"/>
        <v>32.30665019531251</v>
      </c>
      <c r="N39" s="140">
        <f t="shared" si="13"/>
        <v>33.05744145019533</v>
      </c>
      <c r="O39" s="140">
        <f t="shared" si="13"/>
        <v>33.8298462364502</v>
      </c>
      <c r="P39" s="140">
        <f t="shared" si="13"/>
        <v>34.73815489236145</v>
      </c>
      <c r="Q39" s="140">
        <f t="shared" si="13"/>
        <v>35.669171264670474</v>
      </c>
    </row>
    <row r="40" ht="11.25" thickTop="1"/>
    <row r="41" spans="3:17" ht="11.25">
      <c r="C41" s="14" t="s">
        <v>414</v>
      </c>
      <c r="I41" s="101">
        <f>IF(ISERROR(SUM(J41:Q41)),0,MIN(SUM(J41:Q41),1))</f>
        <v>0</v>
      </c>
      <c r="J41" s="98">
        <f aca="true" t="shared" si="14" ref="J41:Q41">IF(ISERROR(J39),1,0)</f>
        <v>0</v>
      </c>
      <c r="K41" s="98">
        <f t="shared" si="14"/>
        <v>0</v>
      </c>
      <c r="L41" s="98">
        <f t="shared" si="14"/>
        <v>0</v>
      </c>
      <c r="M41" s="98">
        <f t="shared" si="14"/>
        <v>0</v>
      </c>
      <c r="N41" s="98">
        <f t="shared" si="14"/>
        <v>0</v>
      </c>
      <c r="O41" s="98">
        <f t="shared" si="14"/>
        <v>0</v>
      </c>
      <c r="P41" s="98">
        <f t="shared" si="14"/>
        <v>0</v>
      </c>
      <c r="Q41" s="98">
        <f t="shared" si="14"/>
        <v>0</v>
      </c>
    </row>
    <row r="43" ht="10.5">
      <c r="C43" s="110" t="s">
        <v>204</v>
      </c>
    </row>
    <row r="44" spans="3:4" ht="10.5">
      <c r="C44" s="139">
        <v>1</v>
      </c>
      <c r="D44" s="6" t="s">
        <v>15</v>
      </c>
    </row>
    <row r="46" spans="3:9" ht="10.5">
      <c r="C46" s="9"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"Balance Sheet - Base Case ("&amp;INDEX(LU_Denom,DD_TS_Denom)&amp;")"</f>
        <v>Balance Sheet - Base Case ($Millions)</v>
      </c>
    </row>
    <row r="18" ht="11.25">
      <c r="C18" s="96" t="s">
        <v>31</v>
      </c>
    </row>
    <row r="20" spans="5:17" ht="10.5" hidden="1" outlineLevel="2">
      <c r="E20" s="6" t="s">
        <v>42</v>
      </c>
      <c r="J20" s="97">
        <f>IF(J$12=1,Fcast_TA!$J$119,I22)</f>
        <v>15</v>
      </c>
      <c r="K20" s="97">
        <f>IF(K$12=1,Fcast_TA!$J$119,J22)</f>
        <v>38.570976027397265</v>
      </c>
      <c r="L20" s="97">
        <f>IF(L$12=1,Fcast_TA!$J$119,K22)</f>
        <v>49.719312928082175</v>
      </c>
      <c r="M20" s="97">
        <f>IF(M$12=1,Fcast_TA!$J$119,L22)</f>
        <v>62.20628400358605</v>
      </c>
      <c r="N20" s="97">
        <f>IF(N$12=1,Fcast_TA!$J$119,M22)</f>
        <v>75.02072814506636</v>
      </c>
      <c r="O20" s="97">
        <f>IF(O$12=1,Fcast_TA!$J$119,N22)</f>
        <v>93.08499634869301</v>
      </c>
      <c r="P20" s="97">
        <f>IF(P$12=1,Fcast_TA!$J$119,O22)</f>
        <v>106.45007438241035</v>
      </c>
      <c r="Q20" s="97">
        <f>IF(Q$12=1,Fcast_TA!$J$119,P22)</f>
        <v>120.237691183499</v>
      </c>
    </row>
    <row r="21" spans="5:17" ht="10.5" hidden="1" outlineLevel="2">
      <c r="E21" s="6" t="s">
        <v>43</v>
      </c>
      <c r="J21" s="123">
        <f>CFS_TO!J50</f>
        <v>23.57097602739727</v>
      </c>
      <c r="K21" s="123">
        <f>CFS_TO!K50</f>
        <v>11.148336900684914</v>
      </c>
      <c r="L21" s="123">
        <f>CFS_TO!L50</f>
        <v>12.486971075503874</v>
      </c>
      <c r="M21" s="123">
        <f>CFS_TO!M50</f>
        <v>12.814444141480315</v>
      </c>
      <c r="N21" s="123">
        <f>CFS_TO!N50</f>
        <v>18.06426820362666</v>
      </c>
      <c r="O21" s="123">
        <f>CFS_TO!O50</f>
        <v>13.365078033717339</v>
      </c>
      <c r="P21" s="123">
        <f>CFS_TO!P50</f>
        <v>13.787616801088642</v>
      </c>
      <c r="Q21" s="123">
        <f>CFS_TO!Q50</f>
        <v>14.149085792645895</v>
      </c>
    </row>
    <row r="22" spans="4:17" ht="10.5" collapsed="1">
      <c r="D22" s="6" t="s">
        <v>500</v>
      </c>
      <c r="J22" s="97">
        <f aca="true" t="shared" si="8" ref="J22:Q22">SUM(J20:J21)</f>
        <v>38.570976027397265</v>
      </c>
      <c r="K22" s="97">
        <f t="shared" si="8"/>
        <v>49.719312928082175</v>
      </c>
      <c r="L22" s="97">
        <f t="shared" si="8"/>
        <v>62.20628400358605</v>
      </c>
      <c r="M22" s="97">
        <f t="shared" si="8"/>
        <v>75.02072814506636</v>
      </c>
      <c r="N22" s="97">
        <f t="shared" si="8"/>
        <v>93.08499634869301</v>
      </c>
      <c r="O22" s="97">
        <f t="shared" si="8"/>
        <v>106.45007438241035</v>
      </c>
      <c r="P22" s="97">
        <f t="shared" si="8"/>
        <v>120.237691183499</v>
      </c>
      <c r="Q22" s="97">
        <f t="shared" si="8"/>
        <v>134.3867769761449</v>
      </c>
    </row>
    <row r="23" spans="4:17" ht="10.5">
      <c r="D23" s="6" t="s">
        <v>300</v>
      </c>
      <c r="J23" s="97">
        <f>Fcast_TO!J33</f>
        <v>10.273972602739725</v>
      </c>
      <c r="K23" s="97">
        <f>Fcast_TO!K33</f>
        <v>10.530821917808218</v>
      </c>
      <c r="L23" s="97">
        <f>Fcast_TO!L33</f>
        <v>10.764600409836065</v>
      </c>
      <c r="M23" s="97">
        <f>Fcast_TO!M33</f>
        <v>11.06394477739726</v>
      </c>
      <c r="N23" s="97">
        <f>Fcast_TO!N33</f>
        <v>11.340543396832192</v>
      </c>
      <c r="O23" s="97">
        <f>Fcast_TO!O33</f>
        <v>11.624056981752995</v>
      </c>
      <c r="P23" s="97">
        <f>Fcast_TO!P33</f>
        <v>11.882104694804204</v>
      </c>
      <c r="Q23" s="97">
        <f>Fcast_TO!Q33</f>
        <v>12.212524866454237</v>
      </c>
    </row>
    <row r="24" spans="4:17" ht="10.5">
      <c r="D24" s="5" t="str">
        <f>Fcast_TA!D123</f>
        <v>Other Current Assets</v>
      </c>
      <c r="J24" s="97">
        <f>Fcast_TO!J189</f>
        <v>3</v>
      </c>
      <c r="K24" s="97">
        <f>Fcast_TO!K189</f>
        <v>4</v>
      </c>
      <c r="L24" s="97">
        <f>Fcast_TO!L189</f>
        <v>5</v>
      </c>
      <c r="M24" s="97">
        <f>Fcast_TO!M189</f>
        <v>6</v>
      </c>
      <c r="N24" s="97">
        <f>Fcast_TO!N189</f>
        <v>7</v>
      </c>
      <c r="O24" s="97">
        <f>Fcast_TO!O189</f>
        <v>8</v>
      </c>
      <c r="P24" s="97">
        <f>Fcast_TO!P189</f>
        <v>9</v>
      </c>
      <c r="Q24" s="97">
        <f>Fcast_TO!Q189</f>
        <v>10</v>
      </c>
    </row>
    <row r="25" spans="4:17" ht="10.5">
      <c r="D25" s="137" t="str">
        <f>"Total "&amp;C18</f>
        <v>Total Current Assets</v>
      </c>
      <c r="J25" s="128">
        <f>J22+SUM(J23:J24)</f>
        <v>51.84494863013699</v>
      </c>
      <c r="K25" s="128">
        <f aca="true" t="shared" si="9" ref="K25:Q25">K22+SUM(K23:K24)</f>
        <v>64.25013484589039</v>
      </c>
      <c r="L25" s="128">
        <f t="shared" si="9"/>
        <v>77.97088441342211</v>
      </c>
      <c r="M25" s="128">
        <f t="shared" si="9"/>
        <v>92.08467292246362</v>
      </c>
      <c r="N25" s="128">
        <f t="shared" si="9"/>
        <v>111.4255397455252</v>
      </c>
      <c r="O25" s="128">
        <f t="shared" si="9"/>
        <v>126.07413136416335</v>
      </c>
      <c r="P25" s="128">
        <f t="shared" si="9"/>
        <v>141.1197958783032</v>
      </c>
      <c r="Q25" s="128">
        <f t="shared" si="9"/>
        <v>156.59930184259912</v>
      </c>
    </row>
    <row r="26" spans="10:17" ht="10.5">
      <c r="J26" s="97"/>
      <c r="K26" s="97"/>
      <c r="L26" s="97"/>
      <c r="M26" s="97"/>
      <c r="N26" s="97"/>
      <c r="O26" s="97"/>
      <c r="P26" s="97"/>
      <c r="Q26" s="97"/>
    </row>
    <row r="27" spans="3:17" ht="11.25">
      <c r="C27" s="96" t="s">
        <v>32</v>
      </c>
      <c r="J27" s="97"/>
      <c r="K27" s="97"/>
      <c r="L27" s="97"/>
      <c r="M27" s="97"/>
      <c r="N27" s="97"/>
      <c r="O27" s="97"/>
      <c r="P27" s="97"/>
      <c r="Q27" s="97"/>
    </row>
    <row r="28" spans="10:17" ht="10.5">
      <c r="J28" s="97"/>
      <c r="K28" s="97"/>
      <c r="L28" s="97"/>
      <c r="M28" s="97"/>
      <c r="N28" s="97"/>
      <c r="O28" s="97"/>
      <c r="P28" s="97"/>
      <c r="Q28" s="97"/>
    </row>
    <row r="29" spans="4:17" ht="10.5">
      <c r="D29" s="6" t="s">
        <v>461</v>
      </c>
      <c r="J29" s="97">
        <f>Fcast_TO!J70</f>
        <v>146.5</v>
      </c>
      <c r="K29" s="97">
        <f>Fcast_TO!K70</f>
        <v>148.0375</v>
      </c>
      <c r="L29" s="97">
        <f>Fcast_TO!L70</f>
        <v>149.6134375</v>
      </c>
      <c r="M29" s="97">
        <f>Fcast_TO!M70</f>
        <v>151.22877343750002</v>
      </c>
      <c r="N29" s="97">
        <f>Fcast_TO!N70</f>
        <v>152.88449277343753</v>
      </c>
      <c r="O29" s="97">
        <f>Fcast_TO!O70</f>
        <v>154.5816050927735</v>
      </c>
      <c r="P29" s="97">
        <f>Fcast_TO!P70</f>
        <v>156.32114522009283</v>
      </c>
      <c r="Q29" s="97">
        <f>Fcast_TO!Q70</f>
        <v>158.10417385059515</v>
      </c>
    </row>
    <row r="30" spans="4:17" ht="10.5">
      <c r="D30" s="6" t="s">
        <v>485</v>
      </c>
      <c r="J30" s="97">
        <f>Fcast_TO!J82</f>
        <v>13.375</v>
      </c>
      <c r="K30" s="97">
        <f>Fcast_TO!K82</f>
        <v>15.296875</v>
      </c>
      <c r="L30" s="97">
        <f>Fcast_TO!L82</f>
        <v>17.266796874999997</v>
      </c>
      <c r="M30" s="97">
        <f>Fcast_TO!M82</f>
        <v>19.285966796874998</v>
      </c>
      <c r="N30" s="97">
        <f>Fcast_TO!N82</f>
        <v>21.355615966796872</v>
      </c>
      <c r="O30" s="97">
        <f>Fcast_TO!O82</f>
        <v>23.477006365966794</v>
      </c>
      <c r="P30" s="97">
        <f>Fcast_TO!P82</f>
        <v>25.651431525115964</v>
      </c>
      <c r="Q30" s="97">
        <f>Fcast_TO!Q82</f>
        <v>27.880217313243865</v>
      </c>
    </row>
    <row r="31" spans="4:17" ht="10.5">
      <c r="D31" s="6" t="s">
        <v>4</v>
      </c>
      <c r="J31" s="174">
        <v>0</v>
      </c>
      <c r="K31" s="174">
        <v>0</v>
      </c>
      <c r="L31" s="174">
        <v>0</v>
      </c>
      <c r="M31" s="174">
        <v>0</v>
      </c>
      <c r="N31" s="174">
        <v>0</v>
      </c>
      <c r="O31" s="174">
        <v>0</v>
      </c>
      <c r="P31" s="174">
        <v>0</v>
      </c>
      <c r="Q31" s="174">
        <v>0</v>
      </c>
    </row>
    <row r="32" spans="4:17" ht="10.5">
      <c r="D32" s="5" t="str">
        <f>Fcast_TA!D125</f>
        <v>Other Non-Current Assets</v>
      </c>
      <c r="J32" s="97">
        <f>Fcast_TO!J201</f>
        <v>5</v>
      </c>
      <c r="K32" s="97">
        <f>Fcast_TO!K201</f>
        <v>6</v>
      </c>
      <c r="L32" s="97">
        <f>Fcast_TO!L201</f>
        <v>7</v>
      </c>
      <c r="M32" s="97">
        <f>Fcast_TO!M201</f>
        <v>8</v>
      </c>
      <c r="N32" s="97">
        <f>Fcast_TO!N201</f>
        <v>9</v>
      </c>
      <c r="O32" s="97">
        <f>Fcast_TO!O201</f>
        <v>10</v>
      </c>
      <c r="P32" s="97">
        <f>Fcast_TO!P201</f>
        <v>11</v>
      </c>
      <c r="Q32" s="97">
        <f>Fcast_TO!Q201</f>
        <v>12</v>
      </c>
    </row>
    <row r="33" spans="4:17" ht="10.5">
      <c r="D33" s="137" t="str">
        <f>"Total "&amp;C27</f>
        <v>Total Non-Current Assets</v>
      </c>
      <c r="J33" s="128">
        <f>SUM(J29:J32)</f>
        <v>164.875</v>
      </c>
      <c r="K33" s="128">
        <f aca="true" t="shared" si="10" ref="K33:Q33">SUM(K29:K32)</f>
        <v>169.334375</v>
      </c>
      <c r="L33" s="128">
        <f t="shared" si="10"/>
        <v>173.880234375</v>
      </c>
      <c r="M33" s="128">
        <f t="shared" si="10"/>
        <v>178.514740234375</v>
      </c>
      <c r="N33" s="128">
        <f t="shared" si="10"/>
        <v>183.2401087402344</v>
      </c>
      <c r="O33" s="128">
        <f t="shared" si="10"/>
        <v>188.05861145874027</v>
      </c>
      <c r="P33" s="128">
        <f t="shared" si="10"/>
        <v>192.97257674520878</v>
      </c>
      <c r="Q33" s="128">
        <f t="shared" si="10"/>
        <v>197.984391163839</v>
      </c>
    </row>
    <row r="34" spans="10:17" ht="10.5">
      <c r="J34" s="97"/>
      <c r="K34" s="97"/>
      <c r="L34" s="97"/>
      <c r="M34" s="97"/>
      <c r="N34" s="97"/>
      <c r="O34" s="97"/>
      <c r="P34" s="97"/>
      <c r="Q34" s="97"/>
    </row>
    <row r="35" spans="3:17" ht="11.25">
      <c r="C35" s="96" t="s">
        <v>33</v>
      </c>
      <c r="J35" s="141">
        <f aca="true" t="shared" si="11" ref="J35:Q35">J25+J33</f>
        <v>216.719948630137</v>
      </c>
      <c r="K35" s="141">
        <f t="shared" si="11"/>
        <v>233.58450984589038</v>
      </c>
      <c r="L35" s="141">
        <f t="shared" si="11"/>
        <v>251.8511187884221</v>
      </c>
      <c r="M35" s="141">
        <f t="shared" si="11"/>
        <v>270.59941315683864</v>
      </c>
      <c r="N35" s="141">
        <f t="shared" si="11"/>
        <v>294.6656484857596</v>
      </c>
      <c r="O35" s="141">
        <f t="shared" si="11"/>
        <v>314.13274282290365</v>
      </c>
      <c r="P35" s="141">
        <f t="shared" si="11"/>
        <v>334.092372623512</v>
      </c>
      <c r="Q35" s="141">
        <f t="shared" si="11"/>
        <v>354.5836930064381</v>
      </c>
    </row>
    <row r="36" spans="10:17" ht="10.5">
      <c r="J36" s="97"/>
      <c r="K36" s="97"/>
      <c r="L36" s="97"/>
      <c r="M36" s="97"/>
      <c r="N36" s="97"/>
      <c r="O36" s="97"/>
      <c r="P36" s="97"/>
      <c r="Q36" s="97"/>
    </row>
    <row r="37" spans="3:17" ht="11.25">
      <c r="C37" s="96" t="s">
        <v>34</v>
      </c>
      <c r="J37" s="97"/>
      <c r="K37" s="97"/>
      <c r="L37" s="97"/>
      <c r="M37" s="97"/>
      <c r="N37" s="97"/>
      <c r="O37" s="97"/>
      <c r="P37" s="97"/>
      <c r="Q37" s="97"/>
    </row>
    <row r="38" spans="10:17" ht="10.5">
      <c r="J38" s="97"/>
      <c r="K38" s="97"/>
      <c r="L38" s="97"/>
      <c r="M38" s="97"/>
      <c r="N38" s="97"/>
      <c r="O38" s="97"/>
      <c r="P38" s="97"/>
      <c r="Q38" s="97"/>
    </row>
    <row r="39" spans="4:17" ht="10.5">
      <c r="D39" s="6" t="s">
        <v>301</v>
      </c>
      <c r="J39" s="97">
        <f>Fcast_TO!J50</f>
        <v>8.013698630136986</v>
      </c>
      <c r="K39" s="97">
        <f>Fcast_TO!K50</f>
        <v>8.21404109589041</v>
      </c>
      <c r="L39" s="97">
        <f>Fcast_TO!L50</f>
        <v>8.39638831967213</v>
      </c>
      <c r="M39" s="97">
        <f>Fcast_TO!M50</f>
        <v>8.629876926369862</v>
      </c>
      <c r="N39" s="97">
        <f>Fcast_TO!N50</f>
        <v>8.845623849529108</v>
      </c>
      <c r="O39" s="97">
        <f>Fcast_TO!O50</f>
        <v>9.066764445767335</v>
      </c>
      <c r="P39" s="97">
        <f>Fcast_TO!P50</f>
        <v>9.268041661947276</v>
      </c>
      <c r="Q39" s="97">
        <f>Fcast_TO!Q50</f>
        <v>9.525769395834304</v>
      </c>
    </row>
    <row r="40" spans="4:17" ht="10.5">
      <c r="D40" s="6" t="s">
        <v>9</v>
      </c>
      <c r="J40" s="97">
        <f>Fcast_TO!J180</f>
        <v>12.787500000000001</v>
      </c>
      <c r="K40" s="97">
        <f>Fcast_TO!K180</f>
        <v>13.131562500000003</v>
      </c>
      <c r="L40" s="97">
        <f>Fcast_TO!L180</f>
        <v>13.484226562500004</v>
      </c>
      <c r="M40" s="97">
        <f>Fcast_TO!M180</f>
        <v>13.845707226562508</v>
      </c>
      <c r="N40" s="97">
        <f>Fcast_TO!N180</f>
        <v>14.16747490722657</v>
      </c>
      <c r="O40" s="97">
        <f>Fcast_TO!O180</f>
        <v>14.49850552990723</v>
      </c>
      <c r="P40" s="97">
        <f>Fcast_TO!P180</f>
        <v>14.88778066815491</v>
      </c>
      <c r="Q40" s="97">
        <f>Fcast_TO!Q180</f>
        <v>15.286787684858776</v>
      </c>
    </row>
    <row r="41" spans="4:17" ht="10.5">
      <c r="D41" s="6" t="s">
        <v>490</v>
      </c>
      <c r="J41" s="97">
        <f>Fcast_TO!J115</f>
        <v>0</v>
      </c>
      <c r="K41" s="97">
        <f>Fcast_TO!K115</f>
        <v>0</v>
      </c>
      <c r="L41" s="97">
        <f>Fcast_TO!L115</f>
        <v>0</v>
      </c>
      <c r="M41" s="97">
        <f>Fcast_TO!M115</f>
        <v>0</v>
      </c>
      <c r="N41" s="97">
        <f>Fcast_TO!N115</f>
        <v>0</v>
      </c>
      <c r="O41" s="97">
        <f>Fcast_TO!O115</f>
        <v>0</v>
      </c>
      <c r="P41" s="97">
        <f>Fcast_TO!P115</f>
        <v>0</v>
      </c>
      <c r="Q41" s="97">
        <f>Fcast_TO!Q115</f>
        <v>0</v>
      </c>
    </row>
    <row r="42" spans="4:17" ht="10.5">
      <c r="D42" s="6" t="s">
        <v>35</v>
      </c>
      <c r="J42" s="97">
        <f>Fcast_TO!J131</f>
        <v>0</v>
      </c>
      <c r="K42" s="97">
        <f>Fcast_TO!K131</f>
        <v>0</v>
      </c>
      <c r="L42" s="97">
        <f>Fcast_TO!L131</f>
        <v>0</v>
      </c>
      <c r="M42" s="97">
        <f>Fcast_TO!M131</f>
        <v>0</v>
      </c>
      <c r="N42" s="97">
        <f>Fcast_TO!N131</f>
        <v>0</v>
      </c>
      <c r="O42" s="97">
        <f>Fcast_TO!O131</f>
        <v>0</v>
      </c>
      <c r="P42" s="97">
        <f>Fcast_TO!P131</f>
        <v>0</v>
      </c>
      <c r="Q42" s="97">
        <f>Fcast_TO!Q131</f>
        <v>0</v>
      </c>
    </row>
    <row r="43" spans="4:17" ht="10.5">
      <c r="D43" s="5" t="str">
        <f>Fcast_TA!D124</f>
        <v>Other Current Liabilities</v>
      </c>
      <c r="J43" s="97">
        <f>Fcast_TO!J195</f>
        <v>4</v>
      </c>
      <c r="K43" s="97">
        <f>Fcast_TO!K195</f>
        <v>5</v>
      </c>
      <c r="L43" s="97">
        <f>Fcast_TO!L195</f>
        <v>6</v>
      </c>
      <c r="M43" s="97">
        <f>Fcast_TO!M195</f>
        <v>7</v>
      </c>
      <c r="N43" s="97">
        <f>Fcast_TO!N195</f>
        <v>8</v>
      </c>
      <c r="O43" s="97">
        <f>Fcast_TO!O195</f>
        <v>9</v>
      </c>
      <c r="P43" s="97">
        <f>Fcast_TO!P195</f>
        <v>10</v>
      </c>
      <c r="Q43" s="97">
        <f>Fcast_TO!Q195</f>
        <v>11</v>
      </c>
    </row>
    <row r="44" spans="4:17" ht="10.5">
      <c r="D44" s="137" t="str">
        <f>"Total "&amp;C37</f>
        <v>Total Current Liabilities</v>
      </c>
      <c r="J44" s="128">
        <f>SUM(J39:J43)</f>
        <v>24.801198630136987</v>
      </c>
      <c r="K44" s="128">
        <f aca="true" t="shared" si="12" ref="K44:Q44">SUM(K39:K43)</f>
        <v>26.345603595890413</v>
      </c>
      <c r="L44" s="128">
        <f t="shared" si="12"/>
        <v>27.880614882172132</v>
      </c>
      <c r="M44" s="128">
        <f t="shared" si="12"/>
        <v>29.47558415293237</v>
      </c>
      <c r="N44" s="128">
        <f t="shared" si="12"/>
        <v>31.013098756755678</v>
      </c>
      <c r="O44" s="128">
        <f t="shared" si="12"/>
        <v>32.56526997567457</v>
      </c>
      <c r="P44" s="128">
        <f t="shared" si="12"/>
        <v>34.15582233010218</v>
      </c>
      <c r="Q44" s="128">
        <f t="shared" si="12"/>
        <v>35.81255708069308</v>
      </c>
    </row>
    <row r="45" spans="10:17" ht="10.5">
      <c r="J45" s="97"/>
      <c r="K45" s="97"/>
      <c r="L45" s="97"/>
      <c r="M45" s="97"/>
      <c r="N45" s="97"/>
      <c r="O45" s="97"/>
      <c r="P45" s="97"/>
      <c r="Q45" s="97"/>
    </row>
    <row r="46" spans="3:17" ht="11.25">
      <c r="C46" s="96" t="s">
        <v>36</v>
      </c>
      <c r="J46" s="97"/>
      <c r="K46" s="97"/>
      <c r="L46" s="97"/>
      <c r="M46" s="97"/>
      <c r="N46" s="97"/>
      <c r="O46" s="97"/>
      <c r="P46" s="97"/>
      <c r="Q46" s="97"/>
    </row>
    <row r="47" spans="10:17" ht="10.5">
      <c r="J47" s="97"/>
      <c r="K47" s="97"/>
      <c r="L47" s="97"/>
      <c r="M47" s="97"/>
      <c r="N47" s="97"/>
      <c r="O47" s="97"/>
      <c r="P47" s="97"/>
      <c r="Q47" s="97"/>
    </row>
    <row r="48" spans="4:17" ht="10.5">
      <c r="D48" s="6" t="s">
        <v>257</v>
      </c>
      <c r="J48" s="97">
        <f>Fcast_TO!J98</f>
        <v>50</v>
      </c>
      <c r="K48" s="97">
        <f>Fcast_TO!K98</f>
        <v>50</v>
      </c>
      <c r="L48" s="97">
        <f>Fcast_TO!L98</f>
        <v>50</v>
      </c>
      <c r="M48" s="97">
        <f>Fcast_TO!M98</f>
        <v>50</v>
      </c>
      <c r="N48" s="97">
        <f>Fcast_TO!N98</f>
        <v>55</v>
      </c>
      <c r="O48" s="97">
        <f>Fcast_TO!O98</f>
        <v>55</v>
      </c>
      <c r="P48" s="97">
        <f>Fcast_TO!P98</f>
        <v>55</v>
      </c>
      <c r="Q48" s="97">
        <f>Fcast_TO!Q98</f>
        <v>55</v>
      </c>
    </row>
    <row r="49" spans="4:17" ht="10.5">
      <c r="D49" s="6" t="s">
        <v>5</v>
      </c>
      <c r="J49" s="174">
        <v>0</v>
      </c>
      <c r="K49" s="174">
        <v>0</v>
      </c>
      <c r="L49" s="174">
        <v>0</v>
      </c>
      <c r="M49" s="174">
        <v>0</v>
      </c>
      <c r="N49" s="174">
        <v>0</v>
      </c>
      <c r="O49" s="174">
        <v>0</v>
      </c>
      <c r="P49" s="174">
        <v>0</v>
      </c>
      <c r="Q49" s="174">
        <v>0</v>
      </c>
    </row>
    <row r="50" spans="4:17" ht="10.5">
      <c r="D50" s="5" t="str">
        <f>Fcast_TA!D126</f>
        <v>Other Non-Current Liabilities</v>
      </c>
      <c r="J50" s="97">
        <f>Fcast_TO!J207</f>
        <v>6</v>
      </c>
      <c r="K50" s="97">
        <f>Fcast_TO!K207</f>
        <v>7</v>
      </c>
      <c r="L50" s="97">
        <f>Fcast_TO!L207</f>
        <v>8</v>
      </c>
      <c r="M50" s="97">
        <f>Fcast_TO!M207</f>
        <v>9</v>
      </c>
      <c r="N50" s="97">
        <f>Fcast_TO!N207</f>
        <v>10</v>
      </c>
      <c r="O50" s="97">
        <f>Fcast_TO!O207</f>
        <v>11</v>
      </c>
      <c r="P50" s="97">
        <f>Fcast_TO!P207</f>
        <v>12</v>
      </c>
      <c r="Q50" s="97">
        <f>Fcast_TO!Q207</f>
        <v>13</v>
      </c>
    </row>
    <row r="51" spans="4:17" ht="10.5">
      <c r="D51" s="137" t="str">
        <f>"Total "&amp;C46</f>
        <v>Total Non-Current Liabilities</v>
      </c>
      <c r="J51" s="128">
        <f>SUM(J48:J50)</f>
        <v>56</v>
      </c>
      <c r="K51" s="128">
        <f aca="true" t="shared" si="13" ref="K51:Q51">SUM(K48:K50)</f>
        <v>57</v>
      </c>
      <c r="L51" s="128">
        <f t="shared" si="13"/>
        <v>58</v>
      </c>
      <c r="M51" s="128">
        <f t="shared" si="13"/>
        <v>59</v>
      </c>
      <c r="N51" s="128">
        <f t="shared" si="13"/>
        <v>65</v>
      </c>
      <c r="O51" s="128">
        <f t="shared" si="13"/>
        <v>66</v>
      </c>
      <c r="P51" s="128">
        <f t="shared" si="13"/>
        <v>67</v>
      </c>
      <c r="Q51" s="128">
        <f t="shared" si="13"/>
        <v>68</v>
      </c>
    </row>
    <row r="52" spans="10:17" ht="10.5">
      <c r="J52" s="97"/>
      <c r="K52" s="97"/>
      <c r="L52" s="97"/>
      <c r="M52" s="97"/>
      <c r="N52" s="97"/>
      <c r="O52" s="97"/>
      <c r="P52" s="97"/>
      <c r="Q52" s="97"/>
    </row>
    <row r="53" spans="3:17" ht="11.25">
      <c r="C53" s="96" t="s">
        <v>37</v>
      </c>
      <c r="J53" s="141">
        <f aca="true" t="shared" si="14" ref="J53:Q53">J44+J51</f>
        <v>80.80119863013698</v>
      </c>
      <c r="K53" s="141">
        <f t="shared" si="14"/>
        <v>83.34560359589041</v>
      </c>
      <c r="L53" s="141">
        <f t="shared" si="14"/>
        <v>85.88061488217213</v>
      </c>
      <c r="M53" s="141">
        <f t="shared" si="14"/>
        <v>88.47558415293237</v>
      </c>
      <c r="N53" s="141">
        <f t="shared" si="14"/>
        <v>96.01309875675568</v>
      </c>
      <c r="O53" s="141">
        <f t="shared" si="14"/>
        <v>98.56526997567457</v>
      </c>
      <c r="P53" s="141">
        <f t="shared" si="14"/>
        <v>101.15582233010218</v>
      </c>
      <c r="Q53" s="141">
        <f t="shared" si="14"/>
        <v>103.81255708069308</v>
      </c>
    </row>
    <row r="54" spans="10:17" ht="10.5">
      <c r="J54" s="97"/>
      <c r="K54" s="97"/>
      <c r="L54" s="97"/>
      <c r="M54" s="97"/>
      <c r="N54" s="97"/>
      <c r="O54" s="97"/>
      <c r="P54" s="97"/>
      <c r="Q54" s="97"/>
    </row>
    <row r="55" spans="3:17" ht="12" thickBot="1">
      <c r="C55" s="96" t="s">
        <v>38</v>
      </c>
      <c r="J55" s="140">
        <f aca="true" t="shared" si="15" ref="J55:Q55">J35-J53</f>
        <v>135.91875000000002</v>
      </c>
      <c r="K55" s="140">
        <f t="shared" si="15"/>
        <v>150.23890624999996</v>
      </c>
      <c r="L55" s="140">
        <f t="shared" si="15"/>
        <v>165.97050390624997</v>
      </c>
      <c r="M55" s="140">
        <f t="shared" si="15"/>
        <v>182.12382900390628</v>
      </c>
      <c r="N55" s="140">
        <f t="shared" si="15"/>
        <v>198.65254972900394</v>
      </c>
      <c r="O55" s="140">
        <f t="shared" si="15"/>
        <v>215.56747284722908</v>
      </c>
      <c r="P55" s="140">
        <f t="shared" si="15"/>
        <v>232.93655029340982</v>
      </c>
      <c r="Q55" s="140">
        <f t="shared" si="15"/>
        <v>250.77113592574506</v>
      </c>
    </row>
    <row r="56" spans="10:17" ht="11.25" thickTop="1">
      <c r="J56" s="97"/>
      <c r="K56" s="97"/>
      <c r="L56" s="97"/>
      <c r="M56" s="97"/>
      <c r="N56" s="97"/>
      <c r="O56" s="97"/>
      <c r="P56" s="97"/>
      <c r="Q56" s="97"/>
    </row>
    <row r="57" spans="3:17" ht="11.25">
      <c r="C57" s="96" t="s">
        <v>39</v>
      </c>
      <c r="J57" s="97"/>
      <c r="K57" s="97"/>
      <c r="L57" s="97"/>
      <c r="M57" s="97"/>
      <c r="N57" s="97"/>
      <c r="O57" s="97"/>
      <c r="P57" s="97"/>
      <c r="Q57" s="97"/>
    </row>
    <row r="58" spans="10:17" ht="10.5">
      <c r="J58" s="97"/>
      <c r="K58" s="97"/>
      <c r="L58" s="97"/>
      <c r="M58" s="97"/>
      <c r="N58" s="97"/>
      <c r="O58" s="97"/>
      <c r="P58" s="97"/>
      <c r="Q58" s="97"/>
    </row>
    <row r="59" spans="4:17" ht="10.5">
      <c r="D59" s="6" t="s">
        <v>275</v>
      </c>
      <c r="J59" s="144">
        <f>Fcast_TO!J124</f>
        <v>75</v>
      </c>
      <c r="K59" s="97">
        <f>Fcast_TO!K124</f>
        <v>75</v>
      </c>
      <c r="L59" s="97">
        <f>Fcast_TO!L124</f>
        <v>75</v>
      </c>
      <c r="M59" s="97">
        <f>Fcast_TO!M124</f>
        <v>75</v>
      </c>
      <c r="N59" s="97">
        <f>Fcast_TO!N124</f>
        <v>75</v>
      </c>
      <c r="O59" s="97">
        <f>Fcast_TO!O124</f>
        <v>75</v>
      </c>
      <c r="P59" s="97">
        <f>Fcast_TO!P124</f>
        <v>75</v>
      </c>
      <c r="Q59" s="97">
        <f>Fcast_TO!Q124</f>
        <v>75</v>
      </c>
    </row>
    <row r="60" spans="10:17" ht="10.5" hidden="1" outlineLevel="2">
      <c r="J60" s="97"/>
      <c r="K60" s="97"/>
      <c r="L60" s="97"/>
      <c r="M60" s="97"/>
      <c r="N60" s="97"/>
      <c r="O60" s="97"/>
      <c r="P60" s="97"/>
      <c r="Q60" s="97"/>
    </row>
    <row r="61" spans="5:17" ht="10.5" hidden="1" outlineLevel="2">
      <c r="E61" s="6" t="s">
        <v>281</v>
      </c>
      <c r="J61" s="144">
        <f>IF(J$12=1,0,I65)</f>
        <v>0</v>
      </c>
      <c r="K61" s="144">
        <f aca="true" t="shared" si="16" ref="K61:Q61">IF(K$12=1,0,J65)</f>
        <v>60.91875</v>
      </c>
      <c r="L61" s="144">
        <f t="shared" si="16"/>
        <v>76.23890625000001</v>
      </c>
      <c r="M61" s="144">
        <f t="shared" si="16"/>
        <v>91.97050390625002</v>
      </c>
      <c r="N61" s="144">
        <f t="shared" si="16"/>
        <v>108.12382900390628</v>
      </c>
      <c r="O61" s="144">
        <f t="shared" si="16"/>
        <v>124.65254972900394</v>
      </c>
      <c r="P61" s="144">
        <f t="shared" si="16"/>
        <v>141.56747284722906</v>
      </c>
      <c r="Q61" s="144">
        <f t="shared" si="16"/>
        <v>158.93655029340977</v>
      </c>
    </row>
    <row r="62" spans="5:17" ht="10.5" hidden="1" outlineLevel="2">
      <c r="E62" s="6" t="s">
        <v>503</v>
      </c>
      <c r="J62" s="144">
        <f>IF(J$12=1,J55-J59-J61-J63-J64,0)</f>
        <v>46.000000000000014</v>
      </c>
      <c r="K62" s="144">
        <f aca="true" t="shared" si="17" ref="K62:Q62">IF(K$12=1,K55-K59-K61-K63-K64,0)</f>
        <v>0</v>
      </c>
      <c r="L62" s="144">
        <f t="shared" si="17"/>
        <v>0</v>
      </c>
      <c r="M62" s="144">
        <f t="shared" si="17"/>
        <v>0</v>
      </c>
      <c r="N62" s="144">
        <f t="shared" si="17"/>
        <v>0</v>
      </c>
      <c r="O62" s="144">
        <f t="shared" si="17"/>
        <v>0</v>
      </c>
      <c r="P62" s="144">
        <f t="shared" si="17"/>
        <v>0</v>
      </c>
      <c r="Q62" s="144">
        <f t="shared" si="17"/>
        <v>0</v>
      </c>
    </row>
    <row r="63" spans="5:17" ht="10.5" hidden="1" outlineLevel="2">
      <c r="E63" s="6" t="s">
        <v>44</v>
      </c>
      <c r="J63" s="144">
        <f>IS_TO!J39</f>
        <v>29.8375</v>
      </c>
      <c r="K63" s="144">
        <f>IS_TO!K39</f>
        <v>30.6403125</v>
      </c>
      <c r="L63" s="144">
        <f>IS_TO!L39</f>
        <v>31.463195312500005</v>
      </c>
      <c r="M63" s="144">
        <f>IS_TO!M39</f>
        <v>32.30665019531251</v>
      </c>
      <c r="N63" s="144">
        <f>IS_TO!N39</f>
        <v>33.05744145019533</v>
      </c>
      <c r="O63" s="144">
        <f>IS_TO!O39</f>
        <v>33.8298462364502</v>
      </c>
      <c r="P63" s="144">
        <f>IS_TO!P39</f>
        <v>34.73815489236145</v>
      </c>
      <c r="Q63" s="144">
        <f>IS_TO!Q39</f>
        <v>35.669171264670474</v>
      </c>
    </row>
    <row r="64" spans="5:17" ht="10.5" hidden="1" outlineLevel="2">
      <c r="E64" s="6" t="s">
        <v>45</v>
      </c>
      <c r="J64" s="173">
        <f>-Fcast_TO!J129</f>
        <v>-14.91875</v>
      </c>
      <c r="K64" s="173">
        <f>-Fcast_TO!K129</f>
        <v>-15.32015625</v>
      </c>
      <c r="L64" s="173">
        <f>-Fcast_TO!L129</f>
        <v>-15.731597656250003</v>
      </c>
      <c r="M64" s="173">
        <f>-Fcast_TO!M129</f>
        <v>-16.153325097656253</v>
      </c>
      <c r="N64" s="173">
        <f>-Fcast_TO!N129</f>
        <v>-16.528720725097664</v>
      </c>
      <c r="O64" s="173">
        <f>-Fcast_TO!O129</f>
        <v>-16.9149231182251</v>
      </c>
      <c r="P64" s="173">
        <f>-Fcast_TO!P129</f>
        <v>-17.369077446180725</v>
      </c>
      <c r="Q64" s="173">
        <f>-Fcast_TO!Q129</f>
        <v>-17.834585632335237</v>
      </c>
    </row>
    <row r="65" spans="4:17" ht="10.5" collapsed="1">
      <c r="D65" s="6" t="s">
        <v>40</v>
      </c>
      <c r="J65" s="144">
        <f>SUM(J61:J64)</f>
        <v>60.91875</v>
      </c>
      <c r="K65" s="144">
        <f aca="true" t="shared" si="18" ref="K65:Q65">SUM(K61:K64)</f>
        <v>76.23890625000001</v>
      </c>
      <c r="L65" s="144">
        <f t="shared" si="18"/>
        <v>91.97050390625002</v>
      </c>
      <c r="M65" s="144">
        <f t="shared" si="18"/>
        <v>108.12382900390628</v>
      </c>
      <c r="N65" s="144">
        <f t="shared" si="18"/>
        <v>124.65254972900394</v>
      </c>
      <c r="O65" s="144">
        <f t="shared" si="18"/>
        <v>141.56747284722906</v>
      </c>
      <c r="P65" s="144">
        <f t="shared" si="18"/>
        <v>158.93655029340977</v>
      </c>
      <c r="Q65" s="144">
        <f t="shared" si="18"/>
        <v>176.771135925745</v>
      </c>
    </row>
    <row r="66" spans="10:17" ht="10.5">
      <c r="J66" s="97"/>
      <c r="K66" s="97"/>
      <c r="L66" s="97"/>
      <c r="M66" s="97"/>
      <c r="N66" s="97"/>
      <c r="O66" s="97"/>
      <c r="P66" s="97"/>
      <c r="Q66" s="97"/>
    </row>
    <row r="67" spans="3:17" ht="11.25">
      <c r="C67" s="126" t="str">
        <f>"Total "&amp;C57</f>
        <v>Total Equity</v>
      </c>
      <c r="J67" s="141">
        <f aca="true" t="shared" si="19" ref="J67:Q67">J59+J65</f>
        <v>135.91875</v>
      </c>
      <c r="K67" s="141">
        <f t="shared" si="19"/>
        <v>151.23890625</v>
      </c>
      <c r="L67" s="141">
        <f t="shared" si="19"/>
        <v>166.97050390625003</v>
      </c>
      <c r="M67" s="141">
        <f t="shared" si="19"/>
        <v>183.12382900390628</v>
      </c>
      <c r="N67" s="141">
        <f t="shared" si="19"/>
        <v>199.65254972900394</v>
      </c>
      <c r="O67" s="141">
        <f t="shared" si="19"/>
        <v>216.56747284722906</v>
      </c>
      <c r="P67" s="141">
        <f t="shared" si="19"/>
        <v>233.93655029340977</v>
      </c>
      <c r="Q67" s="141">
        <f t="shared" si="19"/>
        <v>251.771135925745</v>
      </c>
    </row>
    <row r="68" spans="10:17" ht="10.5">
      <c r="J68" s="171"/>
      <c r="K68" s="171"/>
      <c r="L68" s="171"/>
      <c r="M68" s="171"/>
      <c r="N68" s="171"/>
      <c r="O68" s="171"/>
      <c r="P68" s="171"/>
      <c r="Q68" s="171"/>
    </row>
    <row r="69" spans="4:17" ht="10.5">
      <c r="D69" s="6" t="s">
        <v>501</v>
      </c>
      <c r="J69" s="142">
        <f aca="true" t="shared" si="20" ref="J69:Q69">IF(ISERROR(J55-J67),1,0)</f>
        <v>0</v>
      </c>
      <c r="K69" s="142">
        <f t="shared" si="20"/>
        <v>0</v>
      </c>
      <c r="L69" s="142">
        <f t="shared" si="20"/>
        <v>0</v>
      </c>
      <c r="M69" s="142">
        <f t="shared" si="20"/>
        <v>0</v>
      </c>
      <c r="N69" s="142">
        <f t="shared" si="20"/>
        <v>0</v>
      </c>
      <c r="O69" s="142">
        <f t="shared" si="20"/>
        <v>0</v>
      </c>
      <c r="P69" s="142">
        <f t="shared" si="20"/>
        <v>0</v>
      </c>
      <c r="Q69" s="142">
        <f t="shared" si="20"/>
        <v>0</v>
      </c>
    </row>
    <row r="70" spans="4:17" ht="10.5">
      <c r="D70" s="6" t="s">
        <v>422</v>
      </c>
      <c r="J70" s="125">
        <f aca="true" t="shared" si="21" ref="J70:Q70">IF(J69&lt;&gt;0,0,(ROUND(J55-J67,5)&lt;&gt;0)*1)</f>
        <v>0</v>
      </c>
      <c r="K70" s="125">
        <f t="shared" si="21"/>
        <v>1</v>
      </c>
      <c r="L70" s="125">
        <f t="shared" si="21"/>
        <v>1</v>
      </c>
      <c r="M70" s="125">
        <f t="shared" si="21"/>
        <v>1</v>
      </c>
      <c r="N70" s="125">
        <f t="shared" si="21"/>
        <v>1</v>
      </c>
      <c r="O70" s="125">
        <f t="shared" si="21"/>
        <v>1</v>
      </c>
      <c r="P70" s="125">
        <f t="shared" si="21"/>
        <v>1</v>
      </c>
      <c r="Q70" s="125">
        <f t="shared" si="21"/>
        <v>1</v>
      </c>
    </row>
    <row r="71" spans="3:17" ht="10.5">
      <c r="C71" s="6" t="s">
        <v>416</v>
      </c>
      <c r="I71" s="101">
        <f>IF(ISERROR(SUM(J71:Q71)),0,MIN(SUM(J71:Q71),1))</f>
        <v>1</v>
      </c>
      <c r="J71" s="98">
        <f aca="true" t="shared" si="22" ref="J71:Q71">MIN(SUM(J69:J70),1)</f>
        <v>0</v>
      </c>
      <c r="K71" s="98">
        <f t="shared" si="22"/>
        <v>1</v>
      </c>
      <c r="L71" s="98">
        <f t="shared" si="22"/>
        <v>1</v>
      </c>
      <c r="M71" s="98">
        <f t="shared" si="22"/>
        <v>1</v>
      </c>
      <c r="N71" s="98">
        <f t="shared" si="22"/>
        <v>1</v>
      </c>
      <c r="O71" s="98">
        <f t="shared" si="22"/>
        <v>1</v>
      </c>
      <c r="P71" s="98">
        <f t="shared" si="22"/>
        <v>1</v>
      </c>
      <c r="Q71" s="98">
        <f t="shared" si="22"/>
        <v>1</v>
      </c>
    </row>
    <row r="73" spans="3:17" ht="10.5">
      <c r="C73" s="6" t="s">
        <v>423</v>
      </c>
      <c r="I73" s="101">
        <f>IF(ISERROR(SUM(J73:Q73)),0,MIN(SUM(J73:Q73),1))</f>
        <v>0</v>
      </c>
      <c r="J73" s="98">
        <f aca="true" t="shared" si="23" ref="J73:Q73">IF(ISERROR(J22),0,(J22&lt;0)*1)</f>
        <v>0</v>
      </c>
      <c r="K73" s="98">
        <f t="shared" si="23"/>
        <v>0</v>
      </c>
      <c r="L73" s="98">
        <f t="shared" si="23"/>
        <v>0</v>
      </c>
      <c r="M73" s="98">
        <f t="shared" si="23"/>
        <v>0</v>
      </c>
      <c r="N73" s="98">
        <f t="shared" si="23"/>
        <v>0</v>
      </c>
      <c r="O73" s="98">
        <f t="shared" si="23"/>
        <v>0</v>
      </c>
      <c r="P73" s="98">
        <f t="shared" si="23"/>
        <v>0</v>
      </c>
      <c r="Q73" s="98">
        <f t="shared" si="23"/>
        <v>0</v>
      </c>
    </row>
    <row r="75" spans="3:9" ht="10.5">
      <c r="C75" s="9" t="str">
        <f>"Go to "&amp;Err_Chk_11_Hdg</f>
        <v>Go to Income Statement</v>
      </c>
      <c r="D75" s="8"/>
      <c r="E75" s="8"/>
      <c r="F75" s="8"/>
      <c r="G75" s="8"/>
      <c r="H75" s="8"/>
      <c r="I75" s="8"/>
    </row>
    <row r="76" spans="3:8" ht="10.5">
      <c r="C76" s="9"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20" t="s">
        <v>428</v>
      </c>
    </row>
    <row r="18" ht="11.25">
      <c r="C18" s="96" t="s">
        <v>16</v>
      </c>
    </row>
    <row r="20" spans="5:17" ht="10.5" hidden="1" outlineLevel="2">
      <c r="E20" s="5" t="str">
        <f>Fcast_TO!C18</f>
        <v>Revenue</v>
      </c>
      <c r="J20" s="97">
        <f>Fcast_TO!J18</f>
        <v>125</v>
      </c>
      <c r="K20" s="97">
        <f>Fcast_TO!K18</f>
        <v>128.125</v>
      </c>
      <c r="L20" s="97">
        <f>Fcast_TO!L18</f>
        <v>131.328125</v>
      </c>
      <c r="M20" s="97">
        <f>Fcast_TO!M18</f>
        <v>134.611328125</v>
      </c>
      <c r="N20" s="97">
        <f>Fcast_TO!N18</f>
        <v>137.976611328125</v>
      </c>
      <c r="O20" s="97">
        <f>Fcast_TO!O18</f>
        <v>141.4260266113281</v>
      </c>
      <c r="P20" s="97">
        <f>Fcast_TO!P18</f>
        <v>144.96167727661128</v>
      </c>
      <c r="Q20" s="97">
        <f>Fcast_TO!Q18</f>
        <v>148.58571920852654</v>
      </c>
    </row>
    <row r="21" spans="5:17" ht="10.5" hidden="1" outlineLevel="2">
      <c r="E21" s="6" t="s">
        <v>424</v>
      </c>
      <c r="J21" s="123">
        <f>-Fcast_TO!J32</f>
        <v>10.726027397260282</v>
      </c>
      <c r="K21" s="123">
        <f>-Fcast_TO!K32</f>
        <v>-1.2568493150685072</v>
      </c>
      <c r="L21" s="123">
        <f>-Fcast_TO!L32</f>
        <v>-0.23377849202785228</v>
      </c>
      <c r="M21" s="123">
        <f>-Fcast_TO!M32</f>
        <v>-0.29934436756119</v>
      </c>
      <c r="N21" s="123">
        <f>-Fcast_TO!N32</f>
        <v>-0.27659861943493524</v>
      </c>
      <c r="O21" s="123">
        <f>-Fcast_TO!O32</f>
        <v>-0.28351358492079726</v>
      </c>
      <c r="P21" s="123">
        <f>-Fcast_TO!P32</f>
        <v>-0.2580477130512122</v>
      </c>
      <c r="Q21" s="123">
        <f>-Fcast_TO!Q32</f>
        <v>-0.3304201716500188</v>
      </c>
    </row>
    <row r="22" spans="4:17" ht="10.5" collapsed="1">
      <c r="D22" s="6" t="s">
        <v>240</v>
      </c>
      <c r="J22" s="97">
        <f>J20+J21</f>
        <v>135.72602739726028</v>
      </c>
      <c r="K22" s="97">
        <f aca="true" t="shared" si="8" ref="K22:Q22">K20+K21</f>
        <v>126.86815068493149</v>
      </c>
      <c r="L22" s="97">
        <f t="shared" si="8"/>
        <v>131.09434650797215</v>
      </c>
      <c r="M22" s="97">
        <f t="shared" si="8"/>
        <v>134.3119837574388</v>
      </c>
      <c r="N22" s="97">
        <f t="shared" si="8"/>
        <v>137.70001270869005</v>
      </c>
      <c r="O22" s="97">
        <f t="shared" si="8"/>
        <v>141.1425130264073</v>
      </c>
      <c r="P22" s="97">
        <f t="shared" si="8"/>
        <v>144.70362956356007</v>
      </c>
      <c r="Q22" s="97">
        <f t="shared" si="8"/>
        <v>148.25529903687652</v>
      </c>
    </row>
    <row r="23" spans="4:17" ht="10.5" hidden="1" outlineLevel="2">
      <c r="D23" s="5"/>
      <c r="E23" s="5" t="str">
        <f>Fcast_TO!C19</f>
        <v>Cost of Goods Sold</v>
      </c>
      <c r="J23" s="97">
        <f>-Fcast_TO!J19</f>
        <v>-25</v>
      </c>
      <c r="K23" s="97">
        <f>-Fcast_TO!K19</f>
        <v>-25.624999999999996</v>
      </c>
      <c r="L23" s="97">
        <f>-Fcast_TO!L19</f>
        <v>-26.265624999999993</v>
      </c>
      <c r="M23" s="97">
        <f>-Fcast_TO!M19</f>
        <v>-26.92226562499999</v>
      </c>
      <c r="N23" s="97">
        <f>-Fcast_TO!N19</f>
        <v>-27.59532226562499</v>
      </c>
      <c r="O23" s="97">
        <f>-Fcast_TO!O19</f>
        <v>-28.28520532226561</v>
      </c>
      <c r="P23" s="97">
        <f>-Fcast_TO!P19</f>
        <v>-28.992335455322248</v>
      </c>
      <c r="Q23" s="97">
        <f>-Fcast_TO!Q19</f>
        <v>-29.7171438417053</v>
      </c>
    </row>
    <row r="24" spans="4:17" ht="10.5" hidden="1" outlineLevel="2">
      <c r="D24" s="5"/>
      <c r="E24" s="5" t="str">
        <f>Fcast_TO!C20</f>
        <v>Operating Expenditure</v>
      </c>
      <c r="J24" s="97">
        <f>-Fcast_TO!J20</f>
        <v>-40</v>
      </c>
      <c r="K24" s="97">
        <f>-Fcast_TO!K20</f>
        <v>-41</v>
      </c>
      <c r="L24" s="97">
        <f>-Fcast_TO!L20</f>
        <v>-42.025</v>
      </c>
      <c r="M24" s="97">
        <f>-Fcast_TO!M20</f>
        <v>-43.075624999999995</v>
      </c>
      <c r="N24" s="97">
        <f>-Fcast_TO!N20</f>
        <v>-44.15251562499999</v>
      </c>
      <c r="O24" s="97">
        <f>-Fcast_TO!O20</f>
        <v>-45.256328515624986</v>
      </c>
      <c r="P24" s="97">
        <f>-Fcast_TO!P20</f>
        <v>-46.387736728515605</v>
      </c>
      <c r="Q24" s="97">
        <f>-Fcast_TO!Q20</f>
        <v>-47.547430146728495</v>
      </c>
    </row>
    <row r="25" spans="4:17" ht="10.5" hidden="1" outlineLevel="2">
      <c r="D25" s="5"/>
      <c r="E25" s="6" t="s">
        <v>425</v>
      </c>
      <c r="J25" s="123">
        <f>Fcast_TO!J49</f>
        <v>-7.986301369863014</v>
      </c>
      <c r="K25" s="123">
        <f>Fcast_TO!K49</f>
        <v>0.20034246575342252</v>
      </c>
      <c r="L25" s="123">
        <f>Fcast_TO!L49</f>
        <v>0.18234722378171853</v>
      </c>
      <c r="M25" s="123">
        <f>Fcast_TO!M49</f>
        <v>0.2334886066977333</v>
      </c>
      <c r="N25" s="123">
        <f>Fcast_TO!N49</f>
        <v>0.21574692315924437</v>
      </c>
      <c r="O25" s="123">
        <f>Fcast_TO!O49</f>
        <v>0.22114059623822868</v>
      </c>
      <c r="P25" s="123">
        <f>Fcast_TO!P49</f>
        <v>0.2012772161799461</v>
      </c>
      <c r="Q25" s="123">
        <f>Fcast_TO!Q49</f>
        <v>0.2577277338870232</v>
      </c>
    </row>
    <row r="26" spans="4:17" ht="10.5" collapsed="1">
      <c r="D26" s="6" t="s">
        <v>245</v>
      </c>
      <c r="J26" s="97">
        <f>SUM(J23:J25)</f>
        <v>-72.98630136986301</v>
      </c>
      <c r="K26" s="97">
        <f aca="true" t="shared" si="9" ref="K26:Q26">SUM(K23:K25)</f>
        <v>-66.42465753424658</v>
      </c>
      <c r="L26" s="97">
        <f t="shared" si="9"/>
        <v>-68.10827777621827</v>
      </c>
      <c r="M26" s="97">
        <f t="shared" si="9"/>
        <v>-69.76440201830225</v>
      </c>
      <c r="N26" s="97">
        <f t="shared" si="9"/>
        <v>-71.53209096746573</v>
      </c>
      <c r="O26" s="97">
        <f t="shared" si="9"/>
        <v>-73.32039324165237</v>
      </c>
      <c r="P26" s="97">
        <f t="shared" si="9"/>
        <v>-75.17879496765791</v>
      </c>
      <c r="Q26" s="97">
        <f t="shared" si="9"/>
        <v>-77.00684625454677</v>
      </c>
    </row>
    <row r="27" spans="4:17" ht="10.5">
      <c r="D27" s="5" t="str">
        <f>Fcast_TO!E114</f>
        <v>Interest Paid</v>
      </c>
      <c r="J27" s="97">
        <f>Fcast_TO!J114</f>
        <v>-3.25</v>
      </c>
      <c r="K27" s="97">
        <f>Fcast_TO!K114</f>
        <v>-3.25</v>
      </c>
      <c r="L27" s="97">
        <f>Fcast_TO!L114</f>
        <v>-3.25</v>
      </c>
      <c r="M27" s="97">
        <f>Fcast_TO!M114</f>
        <v>-3.25</v>
      </c>
      <c r="N27" s="97">
        <f>Fcast_TO!N114</f>
        <v>-3.4125</v>
      </c>
      <c r="O27" s="97">
        <f>Fcast_TO!O114</f>
        <v>-3.575</v>
      </c>
      <c r="P27" s="97">
        <f>Fcast_TO!P114</f>
        <v>-3.575</v>
      </c>
      <c r="Q27" s="97">
        <f>Fcast_TO!Q114</f>
        <v>-3.575</v>
      </c>
    </row>
    <row r="28" spans="4:17" ht="10.5">
      <c r="D28" s="5" t="str">
        <f>Fcast_TO!D179</f>
        <v>Tax Paid</v>
      </c>
      <c r="J28" s="97">
        <f>Fcast_TO!J179</f>
        <v>-3.5</v>
      </c>
      <c r="K28" s="97">
        <f>Fcast_TO!K179</f>
        <v>-12.7875</v>
      </c>
      <c r="L28" s="97">
        <f>Fcast_TO!L179</f>
        <v>-13.1315625</v>
      </c>
      <c r="M28" s="97">
        <f>Fcast_TO!M179</f>
        <v>-13.4842265625</v>
      </c>
      <c r="N28" s="97">
        <f>Fcast_TO!N179</f>
        <v>-13.845707226562503</v>
      </c>
      <c r="O28" s="97">
        <f>Fcast_TO!O179</f>
        <v>-14.167474907226566</v>
      </c>
      <c r="P28" s="97">
        <f>Fcast_TO!P179</f>
        <v>-14.498505529907227</v>
      </c>
      <c r="Q28" s="97">
        <f>Fcast_TO!Q179</f>
        <v>-14.887780668154907</v>
      </c>
    </row>
    <row r="29" spans="4:17" ht="10.5">
      <c r="D29" s="6" t="s">
        <v>506</v>
      </c>
      <c r="J29" s="97">
        <f>-Fcast_TO!J188</f>
        <v>-1</v>
      </c>
      <c r="K29" s="97">
        <f>-Fcast_TO!K188</f>
        <v>-1</v>
      </c>
      <c r="L29" s="97">
        <f>-Fcast_TO!L188</f>
        <v>-1</v>
      </c>
      <c r="M29" s="97">
        <f>-Fcast_TO!M188</f>
        <v>-1</v>
      </c>
      <c r="N29" s="97">
        <f>-Fcast_TO!N188</f>
        <v>-1</v>
      </c>
      <c r="O29" s="97">
        <f>-Fcast_TO!O188</f>
        <v>-1</v>
      </c>
      <c r="P29" s="97">
        <f>-Fcast_TO!P188</f>
        <v>-1</v>
      </c>
      <c r="Q29" s="97">
        <f>-Fcast_TO!Q188</f>
        <v>-1</v>
      </c>
    </row>
    <row r="30" spans="4:17" ht="10.5">
      <c r="D30" s="6" t="s">
        <v>507</v>
      </c>
      <c r="J30" s="97">
        <f>Fcast_TO!J194</f>
        <v>1</v>
      </c>
      <c r="K30" s="97">
        <f>Fcast_TO!K194</f>
        <v>1</v>
      </c>
      <c r="L30" s="97">
        <f>Fcast_TO!L194</f>
        <v>1</v>
      </c>
      <c r="M30" s="97">
        <f>Fcast_TO!M194</f>
        <v>1</v>
      </c>
      <c r="N30" s="97">
        <f>Fcast_TO!N194</f>
        <v>1</v>
      </c>
      <c r="O30" s="97">
        <f>Fcast_TO!O194</f>
        <v>1</v>
      </c>
      <c r="P30" s="97">
        <f>Fcast_TO!P194</f>
        <v>1</v>
      </c>
      <c r="Q30" s="97">
        <f>Fcast_TO!Q194</f>
        <v>1</v>
      </c>
    </row>
    <row r="31" spans="4:17" ht="10.5">
      <c r="D31" s="137" t="str">
        <f>"Net "&amp;C18</f>
        <v>Net Cash Flow from Operating Activities</v>
      </c>
      <c r="J31" s="141">
        <f>J22+J26+SUM(J27:J30)</f>
        <v>55.98972602739727</v>
      </c>
      <c r="K31" s="141">
        <f aca="true" t="shared" si="10" ref="K31:Q31">K22+K26+SUM(K27:K30)</f>
        <v>44.405993150684914</v>
      </c>
      <c r="L31" s="141">
        <f t="shared" si="10"/>
        <v>46.604506231753874</v>
      </c>
      <c r="M31" s="141">
        <f t="shared" si="10"/>
        <v>47.81335517663656</v>
      </c>
      <c r="N31" s="141">
        <f t="shared" si="10"/>
        <v>48.909714514661815</v>
      </c>
      <c r="O31" s="141">
        <f t="shared" si="10"/>
        <v>50.07964487752837</v>
      </c>
      <c r="P31" s="141">
        <f t="shared" si="10"/>
        <v>51.45132906599494</v>
      </c>
      <c r="Q31" s="141">
        <f t="shared" si="10"/>
        <v>52.785672114174844</v>
      </c>
    </row>
    <row r="32" spans="10:17" ht="10.5">
      <c r="J32" s="97"/>
      <c r="K32" s="97"/>
      <c r="L32" s="97"/>
      <c r="M32" s="97"/>
      <c r="N32" s="97"/>
      <c r="O32" s="97"/>
      <c r="P32" s="97"/>
      <c r="Q32" s="97"/>
    </row>
    <row r="33" spans="3:17" ht="11.25">
      <c r="C33" s="96" t="s">
        <v>17</v>
      </c>
      <c r="J33" s="97"/>
      <c r="K33" s="97"/>
      <c r="L33" s="97"/>
      <c r="M33" s="97"/>
      <c r="N33" s="97"/>
      <c r="O33" s="97"/>
      <c r="P33" s="97"/>
      <c r="Q33" s="97"/>
    </row>
    <row r="34" spans="10:17" ht="10.5">
      <c r="J34" s="97"/>
      <c r="K34" s="97"/>
      <c r="L34" s="97"/>
      <c r="M34" s="97"/>
      <c r="N34" s="97"/>
      <c r="O34" s="97"/>
      <c r="P34" s="97"/>
      <c r="Q34" s="97"/>
    </row>
    <row r="35" spans="4:17" ht="10.5">
      <c r="D35" s="5" t="str">
        <f>Fcast_TO!C21</f>
        <v>Capital Expenditure - Assets</v>
      </c>
      <c r="J35" s="97">
        <f>-Fcast_TO!J21</f>
        <v>-15</v>
      </c>
      <c r="K35" s="97">
        <f>-Fcast_TO!K21</f>
        <v>-15.374999999999998</v>
      </c>
      <c r="L35" s="97">
        <f>-Fcast_TO!L21</f>
        <v>-15.759374999999997</v>
      </c>
      <c r="M35" s="97">
        <f>-Fcast_TO!M21</f>
        <v>-16.153359374999994</v>
      </c>
      <c r="N35" s="97">
        <f>-Fcast_TO!N21</f>
        <v>-16.557193359374992</v>
      </c>
      <c r="O35" s="97">
        <f>-Fcast_TO!O21</f>
        <v>-16.971123193359364</v>
      </c>
      <c r="P35" s="97">
        <f>-Fcast_TO!P21</f>
        <v>-17.395401273193347</v>
      </c>
      <c r="Q35" s="97">
        <f>-Fcast_TO!Q21</f>
        <v>-17.83028630502318</v>
      </c>
    </row>
    <row r="36" spans="4:17" ht="10.5">
      <c r="D36" s="5" t="str">
        <f>Fcast_TO!C22</f>
        <v>Capital Expenditure - Intangibles</v>
      </c>
      <c r="J36" s="97">
        <f>-Fcast_TO!J22</f>
        <v>-2.5</v>
      </c>
      <c r="K36" s="97">
        <f>-Fcast_TO!K22</f>
        <v>-2.5625</v>
      </c>
      <c r="L36" s="97">
        <f>-Fcast_TO!L22</f>
        <v>-2.6265625</v>
      </c>
      <c r="M36" s="97">
        <f>-Fcast_TO!M22</f>
        <v>-2.6922265624999997</v>
      </c>
      <c r="N36" s="97">
        <f>-Fcast_TO!N22</f>
        <v>-2.7595322265624995</v>
      </c>
      <c r="O36" s="97">
        <f>-Fcast_TO!O22</f>
        <v>-2.8285205322265616</v>
      </c>
      <c r="P36" s="97">
        <f>-Fcast_TO!P22</f>
        <v>-2.8992335455322253</v>
      </c>
      <c r="Q36" s="97">
        <f>-Fcast_TO!Q22</f>
        <v>-2.971714384170531</v>
      </c>
    </row>
    <row r="37" spans="4:17" ht="10.5">
      <c r="D37" s="6" t="s">
        <v>508</v>
      </c>
      <c r="J37" s="97">
        <f>-Fcast_TO!J200</f>
        <v>-1</v>
      </c>
      <c r="K37" s="97">
        <f>-Fcast_TO!K200</f>
        <v>-1</v>
      </c>
      <c r="L37" s="97">
        <f>-Fcast_TO!L200</f>
        <v>-1</v>
      </c>
      <c r="M37" s="97">
        <f>-Fcast_TO!M200</f>
        <v>-1</v>
      </c>
      <c r="N37" s="97">
        <f>-Fcast_TO!N200</f>
        <v>-1</v>
      </c>
      <c r="O37" s="97">
        <f>-Fcast_TO!O200</f>
        <v>-1</v>
      </c>
      <c r="P37" s="97">
        <f>-Fcast_TO!P200</f>
        <v>-1</v>
      </c>
      <c r="Q37" s="97">
        <f>-Fcast_TO!Q200</f>
        <v>-1</v>
      </c>
    </row>
    <row r="38" spans="4:17" ht="10.5">
      <c r="D38" s="6" t="s">
        <v>509</v>
      </c>
      <c r="J38" s="97">
        <f>Fcast_TO!J206</f>
        <v>1</v>
      </c>
      <c r="K38" s="97">
        <f>Fcast_TO!K206</f>
        <v>1</v>
      </c>
      <c r="L38" s="97">
        <f>Fcast_TO!L206</f>
        <v>1</v>
      </c>
      <c r="M38" s="97">
        <f>Fcast_TO!M206</f>
        <v>1</v>
      </c>
      <c r="N38" s="97">
        <f>Fcast_TO!N206</f>
        <v>1</v>
      </c>
      <c r="O38" s="97">
        <f>Fcast_TO!O206</f>
        <v>1</v>
      </c>
      <c r="P38" s="97">
        <f>Fcast_TO!P206</f>
        <v>1</v>
      </c>
      <c r="Q38" s="97">
        <f>Fcast_TO!Q206</f>
        <v>1</v>
      </c>
    </row>
    <row r="39" spans="4:17" ht="10.5">
      <c r="D39" s="137" t="str">
        <f>"Net "&amp;C33</f>
        <v>Net Cash Flow from Investing Activities</v>
      </c>
      <c r="J39" s="141">
        <f>SUM(J35:J38)</f>
        <v>-17.5</v>
      </c>
      <c r="K39" s="141">
        <f aca="true" t="shared" si="11" ref="K39:Q39">SUM(K35:K38)</f>
        <v>-17.9375</v>
      </c>
      <c r="L39" s="141">
        <f t="shared" si="11"/>
        <v>-18.385937499999997</v>
      </c>
      <c r="M39" s="141">
        <f t="shared" si="11"/>
        <v>-18.845585937499994</v>
      </c>
      <c r="N39" s="141">
        <f t="shared" si="11"/>
        <v>-19.31672558593749</v>
      </c>
      <c r="O39" s="141">
        <f t="shared" si="11"/>
        <v>-19.799643725585927</v>
      </c>
      <c r="P39" s="141">
        <f t="shared" si="11"/>
        <v>-20.294634818725573</v>
      </c>
      <c r="Q39" s="141">
        <f t="shared" si="11"/>
        <v>-20.80200068919371</v>
      </c>
    </row>
    <row r="40" spans="10:17" ht="10.5">
      <c r="J40" s="97"/>
      <c r="K40" s="97"/>
      <c r="L40" s="97"/>
      <c r="M40" s="97"/>
      <c r="N40" s="97"/>
      <c r="O40" s="97"/>
      <c r="P40" s="97"/>
      <c r="Q40" s="97"/>
    </row>
    <row r="41" spans="3:17" ht="11.25">
      <c r="C41" s="96" t="s">
        <v>18</v>
      </c>
      <c r="J41" s="97"/>
      <c r="K41" s="97"/>
      <c r="L41" s="97"/>
      <c r="M41" s="97"/>
      <c r="N41" s="97"/>
      <c r="O41" s="97"/>
      <c r="P41" s="97"/>
      <c r="Q41" s="97"/>
    </row>
    <row r="42" spans="10:17" ht="10.5">
      <c r="J42" s="97"/>
      <c r="K42" s="97"/>
      <c r="L42" s="97"/>
      <c r="M42" s="97"/>
      <c r="N42" s="97"/>
      <c r="O42" s="97"/>
      <c r="P42" s="97"/>
      <c r="Q42" s="97"/>
    </row>
    <row r="43" spans="4:17" ht="10.5">
      <c r="D43" s="5" t="str">
        <f>Fcast_TO!E96</f>
        <v>Debt Drawdowns</v>
      </c>
      <c r="J43" s="97">
        <f>Fcast_TO!J96</f>
        <v>0</v>
      </c>
      <c r="K43" s="97">
        <f>Fcast_TO!K96</f>
        <v>0</v>
      </c>
      <c r="L43" s="97">
        <f>Fcast_TO!L96</f>
        <v>0</v>
      </c>
      <c r="M43" s="97">
        <f>Fcast_TO!M96</f>
        <v>0</v>
      </c>
      <c r="N43" s="97">
        <f>Fcast_TO!N96</f>
        <v>50</v>
      </c>
      <c r="O43" s="97">
        <f>Fcast_TO!O96</f>
        <v>0</v>
      </c>
      <c r="P43" s="97">
        <f>Fcast_TO!P96</f>
        <v>0</v>
      </c>
      <c r="Q43" s="97">
        <f>Fcast_TO!Q96</f>
        <v>0</v>
      </c>
    </row>
    <row r="44" spans="4:17" ht="10.5">
      <c r="D44" s="5" t="str">
        <f>Fcast_TO!E97</f>
        <v>Debt Repayments</v>
      </c>
      <c r="J44" s="97">
        <f>Fcast_TO!J97</f>
        <v>0</v>
      </c>
      <c r="K44" s="97">
        <f>Fcast_TO!K97</f>
        <v>0</v>
      </c>
      <c r="L44" s="97">
        <f>Fcast_TO!L97</f>
        <v>0</v>
      </c>
      <c r="M44" s="97">
        <f>Fcast_TO!M97</f>
        <v>0</v>
      </c>
      <c r="N44" s="97">
        <f>Fcast_TO!N97</f>
        <v>-45</v>
      </c>
      <c r="O44" s="97">
        <f>Fcast_TO!O97</f>
        <v>0</v>
      </c>
      <c r="P44" s="97">
        <f>Fcast_TO!P97</f>
        <v>0</v>
      </c>
      <c r="Q44" s="97">
        <f>Fcast_TO!Q97</f>
        <v>0</v>
      </c>
    </row>
    <row r="45" spans="4:17" ht="10.5">
      <c r="D45" s="5" t="str">
        <f>Fcast_TO!E122</f>
        <v>Equity Raisings</v>
      </c>
      <c r="J45" s="97">
        <f>Fcast_TO!J122</f>
        <v>0</v>
      </c>
      <c r="K45" s="97">
        <f>Fcast_TO!K122</f>
        <v>0</v>
      </c>
      <c r="L45" s="97">
        <f>Fcast_TO!L122</f>
        <v>0</v>
      </c>
      <c r="M45" s="97">
        <f>Fcast_TO!M122</f>
        <v>0</v>
      </c>
      <c r="N45" s="97">
        <f>Fcast_TO!N122</f>
        <v>0</v>
      </c>
      <c r="O45" s="97">
        <f>Fcast_TO!O122</f>
        <v>0</v>
      </c>
      <c r="P45" s="97">
        <f>Fcast_TO!P122</f>
        <v>0</v>
      </c>
      <c r="Q45" s="97">
        <f>Fcast_TO!Q122</f>
        <v>0</v>
      </c>
    </row>
    <row r="46" spans="4:17" ht="10.5">
      <c r="D46" s="5" t="str">
        <f>Fcast_TO!E123</f>
        <v>Equity Repayments</v>
      </c>
      <c r="J46" s="97">
        <f>Fcast_TO!J123</f>
        <v>0</v>
      </c>
      <c r="K46" s="97">
        <f>Fcast_TO!K123</f>
        <v>0</v>
      </c>
      <c r="L46" s="97">
        <f>Fcast_TO!L123</f>
        <v>0</v>
      </c>
      <c r="M46" s="97">
        <f>Fcast_TO!M123</f>
        <v>0</v>
      </c>
      <c r="N46" s="97">
        <f>Fcast_TO!N123</f>
        <v>0</v>
      </c>
      <c r="O46" s="97">
        <f>Fcast_TO!O123</f>
        <v>0</v>
      </c>
      <c r="P46" s="97">
        <f>Fcast_TO!P123</f>
        <v>0</v>
      </c>
      <c r="Q46" s="97">
        <f>Fcast_TO!Q123</f>
        <v>0</v>
      </c>
    </row>
    <row r="47" spans="4:17" ht="10.5">
      <c r="D47" s="5" t="str">
        <f>Fcast_TO!E130</f>
        <v>Dividends Paid During Period</v>
      </c>
      <c r="J47" s="97">
        <f>Fcast_TO!J130</f>
        <v>-14.91875</v>
      </c>
      <c r="K47" s="97">
        <f>Fcast_TO!K130</f>
        <v>-15.32015625</v>
      </c>
      <c r="L47" s="97">
        <f>Fcast_TO!L130</f>
        <v>-15.731597656250003</v>
      </c>
      <c r="M47" s="97">
        <f>Fcast_TO!M130</f>
        <v>-16.153325097656253</v>
      </c>
      <c r="N47" s="97">
        <f>Fcast_TO!N130</f>
        <v>-16.528720725097664</v>
      </c>
      <c r="O47" s="97">
        <f>Fcast_TO!O130</f>
        <v>-16.9149231182251</v>
      </c>
      <c r="P47" s="97">
        <f>Fcast_TO!P130</f>
        <v>-17.369077446180725</v>
      </c>
      <c r="Q47" s="97">
        <f>Fcast_TO!Q130</f>
        <v>-17.834585632335237</v>
      </c>
    </row>
    <row r="48" spans="4:17" ht="10.5">
      <c r="D48" s="137" t="str">
        <f>"Net "&amp;C41</f>
        <v>Net Cash Flow from Financing Activities</v>
      </c>
      <c r="J48" s="141">
        <f>SUM(J43:J47)</f>
        <v>-14.91875</v>
      </c>
      <c r="K48" s="141">
        <f aca="true" t="shared" si="12" ref="K48:Q48">SUM(K43:K47)</f>
        <v>-15.32015625</v>
      </c>
      <c r="L48" s="141">
        <f t="shared" si="12"/>
        <v>-15.731597656250003</v>
      </c>
      <c r="M48" s="141">
        <f t="shared" si="12"/>
        <v>-16.153325097656253</v>
      </c>
      <c r="N48" s="141">
        <f t="shared" si="12"/>
        <v>-11.528720725097664</v>
      </c>
      <c r="O48" s="141">
        <f t="shared" si="12"/>
        <v>-16.9149231182251</v>
      </c>
      <c r="P48" s="141">
        <f t="shared" si="12"/>
        <v>-17.369077446180725</v>
      </c>
      <c r="Q48" s="141">
        <f t="shared" si="12"/>
        <v>-17.834585632335237</v>
      </c>
    </row>
    <row r="49" spans="10:17" ht="10.5">
      <c r="J49" s="97"/>
      <c r="K49" s="97"/>
      <c r="L49" s="97"/>
      <c r="M49" s="97"/>
      <c r="N49" s="97"/>
      <c r="O49" s="97"/>
      <c r="P49" s="97"/>
      <c r="Q49" s="97"/>
    </row>
    <row r="50" spans="3:17" ht="12" thickBot="1">
      <c r="C50" s="96" t="s">
        <v>19</v>
      </c>
      <c r="J50" s="140">
        <f aca="true" t="shared" si="13" ref="J50:Q50">J31+J39+J48</f>
        <v>23.57097602739727</v>
      </c>
      <c r="K50" s="140">
        <f t="shared" si="13"/>
        <v>11.148336900684914</v>
      </c>
      <c r="L50" s="140">
        <f t="shared" si="13"/>
        <v>12.486971075503874</v>
      </c>
      <c r="M50" s="140">
        <f t="shared" si="13"/>
        <v>12.814444141480315</v>
      </c>
      <c r="N50" s="140">
        <f t="shared" si="13"/>
        <v>18.06426820362666</v>
      </c>
      <c r="O50" s="140">
        <f t="shared" si="13"/>
        <v>13.365078033717339</v>
      </c>
      <c r="P50" s="140">
        <f t="shared" si="13"/>
        <v>13.787616801088642</v>
      </c>
      <c r="Q50" s="140">
        <f t="shared" si="13"/>
        <v>14.149085792645895</v>
      </c>
    </row>
    <row r="51" ht="11.25" thickTop="1"/>
    <row r="53" ht="12.75">
      <c r="B53" s="120" t="s">
        <v>429</v>
      </c>
    </row>
    <row r="55" ht="11.25">
      <c r="C55" s="121" t="str">
        <f>C18</f>
        <v>Cash Flow from Operating Activities</v>
      </c>
    </row>
    <row r="57" spans="4:17" ht="10.5">
      <c r="D57" s="6" t="s">
        <v>14</v>
      </c>
      <c r="J57" s="97">
        <f>IS_TO!J39</f>
        <v>29.8375</v>
      </c>
      <c r="K57" s="97">
        <f>IS_TO!K39</f>
        <v>30.6403125</v>
      </c>
      <c r="L57" s="97">
        <f>IS_TO!L39</f>
        <v>31.463195312500005</v>
      </c>
      <c r="M57" s="97">
        <f>IS_TO!M39</f>
        <v>32.30665019531251</v>
      </c>
      <c r="N57" s="97">
        <f>IS_TO!N39</f>
        <v>33.05744145019533</v>
      </c>
      <c r="O57" s="97">
        <f>IS_TO!O39</f>
        <v>33.8298462364502</v>
      </c>
      <c r="P57" s="97">
        <f>IS_TO!P39</f>
        <v>34.73815489236145</v>
      </c>
      <c r="Q57" s="97">
        <f>IS_TO!Q39</f>
        <v>35.669171264670474</v>
      </c>
    </row>
    <row r="58" spans="4:17" ht="10.5">
      <c r="D58" s="6" t="s">
        <v>20</v>
      </c>
      <c r="J58" s="97">
        <f>-IS_TO!J37</f>
        <v>12.7875</v>
      </c>
      <c r="K58" s="97">
        <f>-IS_TO!K37</f>
        <v>13.1315625</v>
      </c>
      <c r="L58" s="97">
        <f>-IS_TO!L37</f>
        <v>13.4842265625</v>
      </c>
      <c r="M58" s="97">
        <f>-IS_TO!M37</f>
        <v>13.845707226562503</v>
      </c>
      <c r="N58" s="97">
        <f>-IS_TO!N37</f>
        <v>14.167474907226566</v>
      </c>
      <c r="O58" s="97">
        <f>-IS_TO!O37</f>
        <v>14.498505529907227</v>
      </c>
      <c r="P58" s="97">
        <f>-IS_TO!P37</f>
        <v>14.887780668154907</v>
      </c>
      <c r="Q58" s="97">
        <f>-IS_TO!Q37</f>
        <v>15.286787684858773</v>
      </c>
    </row>
    <row r="59" spans="4:17" ht="10.5">
      <c r="D59" s="6" t="s">
        <v>21</v>
      </c>
      <c r="J59" s="97">
        <f>-IS_TO!J33</f>
        <v>3.25</v>
      </c>
      <c r="K59" s="97">
        <f>-IS_TO!K33</f>
        <v>3.25</v>
      </c>
      <c r="L59" s="97">
        <f>-IS_TO!L33</f>
        <v>3.25</v>
      </c>
      <c r="M59" s="97">
        <f>-IS_TO!M33</f>
        <v>3.25</v>
      </c>
      <c r="N59" s="97">
        <f>-IS_TO!N33</f>
        <v>3.4125</v>
      </c>
      <c r="O59" s="97">
        <f>-IS_TO!O33</f>
        <v>3.575</v>
      </c>
      <c r="P59" s="97">
        <f>-IS_TO!P33</f>
        <v>3.575</v>
      </c>
      <c r="Q59" s="97">
        <f>-IS_TO!Q33</f>
        <v>3.575</v>
      </c>
    </row>
    <row r="60" spans="4:17" ht="10.5">
      <c r="D60" s="6" t="s">
        <v>22</v>
      </c>
      <c r="J60" s="97">
        <f>-IS_TO!J29</f>
        <v>14.125</v>
      </c>
      <c r="K60" s="97">
        <f>-IS_TO!K29</f>
        <v>14.478124999999999</v>
      </c>
      <c r="L60" s="97">
        <f>-IS_TO!L29</f>
        <v>14.840078124999996</v>
      </c>
      <c r="M60" s="97">
        <f>-IS_TO!M29</f>
        <v>15.211080078124994</v>
      </c>
      <c r="N60" s="97">
        <f>-IS_TO!N29</f>
        <v>15.591357080078117</v>
      </c>
      <c r="O60" s="97">
        <f>-IS_TO!O29</f>
        <v>15.981141007080069</v>
      </c>
      <c r="P60" s="97">
        <f>-IS_TO!P29</f>
        <v>16.38066953225707</v>
      </c>
      <c r="Q60" s="97">
        <f>-IS_TO!Q29</f>
        <v>16.790186270563492</v>
      </c>
    </row>
    <row r="61" spans="4:17" ht="10.5">
      <c r="D61" s="5" t="str">
        <f>E21</f>
        <v>Decrease in Accounts Receivable</v>
      </c>
      <c r="J61" s="97">
        <f aca="true" t="shared" si="14" ref="J61:Q61">J21</f>
        <v>10.726027397260282</v>
      </c>
      <c r="K61" s="97">
        <f t="shared" si="14"/>
        <v>-1.2568493150685072</v>
      </c>
      <c r="L61" s="97">
        <f t="shared" si="14"/>
        <v>-0.23377849202785228</v>
      </c>
      <c r="M61" s="97">
        <f t="shared" si="14"/>
        <v>-0.29934436756119</v>
      </c>
      <c r="N61" s="97">
        <f t="shared" si="14"/>
        <v>-0.27659861943493524</v>
      </c>
      <c r="O61" s="97">
        <f t="shared" si="14"/>
        <v>-0.28351358492079726</v>
      </c>
      <c r="P61" s="97">
        <f t="shared" si="14"/>
        <v>-0.2580477130512122</v>
      </c>
      <c r="Q61" s="97">
        <f t="shared" si="14"/>
        <v>-0.3304201716500188</v>
      </c>
    </row>
    <row r="62" spans="4:17" ht="10.5">
      <c r="D62" s="5" t="str">
        <f>E25</f>
        <v>Increase in Accounts Payable</v>
      </c>
      <c r="J62" s="97">
        <f aca="true" t="shared" si="15" ref="J62:Q62">J25</f>
        <v>-7.986301369863014</v>
      </c>
      <c r="K62" s="97">
        <f t="shared" si="15"/>
        <v>0.20034246575342252</v>
      </c>
      <c r="L62" s="97">
        <f t="shared" si="15"/>
        <v>0.18234722378171853</v>
      </c>
      <c r="M62" s="97">
        <f t="shared" si="15"/>
        <v>0.2334886066977333</v>
      </c>
      <c r="N62" s="97">
        <f t="shared" si="15"/>
        <v>0.21574692315924437</v>
      </c>
      <c r="O62" s="97">
        <f t="shared" si="15"/>
        <v>0.22114059623822868</v>
      </c>
      <c r="P62" s="97">
        <f t="shared" si="15"/>
        <v>0.2012772161799461</v>
      </c>
      <c r="Q62" s="97">
        <f t="shared" si="15"/>
        <v>0.2577277338870232</v>
      </c>
    </row>
    <row r="63" spans="4:17" ht="10.5">
      <c r="D63" s="5" t="str">
        <f>D27</f>
        <v>Interest Paid</v>
      </c>
      <c r="J63" s="97">
        <f aca="true" t="shared" si="16" ref="J63:Q63">J27</f>
        <v>-3.25</v>
      </c>
      <c r="K63" s="97">
        <f t="shared" si="16"/>
        <v>-3.25</v>
      </c>
      <c r="L63" s="97">
        <f t="shared" si="16"/>
        <v>-3.25</v>
      </c>
      <c r="M63" s="97">
        <f t="shared" si="16"/>
        <v>-3.25</v>
      </c>
      <c r="N63" s="97">
        <f t="shared" si="16"/>
        <v>-3.4125</v>
      </c>
      <c r="O63" s="97">
        <f t="shared" si="16"/>
        <v>-3.575</v>
      </c>
      <c r="P63" s="97">
        <f t="shared" si="16"/>
        <v>-3.575</v>
      </c>
      <c r="Q63" s="97">
        <f t="shared" si="16"/>
        <v>-3.575</v>
      </c>
    </row>
    <row r="64" spans="4:17" ht="10.5">
      <c r="D64" s="5" t="str">
        <f>D28</f>
        <v>Tax Paid</v>
      </c>
      <c r="J64" s="97">
        <f aca="true" t="shared" si="17" ref="J64:Q64">J28</f>
        <v>-3.5</v>
      </c>
      <c r="K64" s="97">
        <f t="shared" si="17"/>
        <v>-12.7875</v>
      </c>
      <c r="L64" s="97">
        <f t="shared" si="17"/>
        <v>-13.1315625</v>
      </c>
      <c r="M64" s="97">
        <f t="shared" si="17"/>
        <v>-13.4842265625</v>
      </c>
      <c r="N64" s="97">
        <f t="shared" si="17"/>
        <v>-13.845707226562503</v>
      </c>
      <c r="O64" s="97">
        <f t="shared" si="17"/>
        <v>-14.167474907226566</v>
      </c>
      <c r="P64" s="97">
        <f t="shared" si="17"/>
        <v>-14.498505529907227</v>
      </c>
      <c r="Q64" s="97">
        <f t="shared" si="17"/>
        <v>-14.887780668154907</v>
      </c>
    </row>
    <row r="65" spans="4:17" ht="10.5">
      <c r="D65" s="5" t="str">
        <f>D29</f>
        <v>Decrease in Other Current Assets</v>
      </c>
      <c r="J65" s="97">
        <f aca="true" t="shared" si="18" ref="J65:Q65">J29</f>
        <v>-1</v>
      </c>
      <c r="K65" s="97">
        <f t="shared" si="18"/>
        <v>-1</v>
      </c>
      <c r="L65" s="97">
        <f t="shared" si="18"/>
        <v>-1</v>
      </c>
      <c r="M65" s="97">
        <f t="shared" si="18"/>
        <v>-1</v>
      </c>
      <c r="N65" s="97">
        <f t="shared" si="18"/>
        <v>-1</v>
      </c>
      <c r="O65" s="97">
        <f t="shared" si="18"/>
        <v>-1</v>
      </c>
      <c r="P65" s="97">
        <f t="shared" si="18"/>
        <v>-1</v>
      </c>
      <c r="Q65" s="97">
        <f t="shared" si="18"/>
        <v>-1</v>
      </c>
    </row>
    <row r="66" spans="4:17" ht="10.5">
      <c r="D66" s="5" t="str">
        <f>D30</f>
        <v>Increase in Other Current Liabilities</v>
      </c>
      <c r="J66" s="97">
        <f aca="true" t="shared" si="19" ref="J66:Q66">J30</f>
        <v>1</v>
      </c>
      <c r="K66" s="97">
        <f t="shared" si="19"/>
        <v>1</v>
      </c>
      <c r="L66" s="97">
        <f t="shared" si="19"/>
        <v>1</v>
      </c>
      <c r="M66" s="97">
        <f t="shared" si="19"/>
        <v>1</v>
      </c>
      <c r="N66" s="97">
        <f t="shared" si="19"/>
        <v>1</v>
      </c>
      <c r="O66" s="97">
        <f t="shared" si="19"/>
        <v>1</v>
      </c>
      <c r="P66" s="97">
        <f t="shared" si="19"/>
        <v>1</v>
      </c>
      <c r="Q66" s="97">
        <f t="shared" si="19"/>
        <v>1</v>
      </c>
    </row>
    <row r="67" spans="4:17" ht="10.5">
      <c r="D67" s="4" t="str">
        <f>D31</f>
        <v>Net Cash Flow from Operating Activities</v>
      </c>
      <c r="J67" s="141">
        <f>SUM(J57:J66)</f>
        <v>55.98972602739727</v>
      </c>
      <c r="K67" s="141">
        <f aca="true" t="shared" si="20" ref="K67:Q67">SUM(K57:K66)</f>
        <v>44.405993150684914</v>
      </c>
      <c r="L67" s="141">
        <f t="shared" si="20"/>
        <v>46.60450623175387</v>
      </c>
      <c r="M67" s="141">
        <f t="shared" si="20"/>
        <v>47.81335517663655</v>
      </c>
      <c r="N67" s="141">
        <f t="shared" si="20"/>
        <v>48.909714514661815</v>
      </c>
      <c r="O67" s="141">
        <f t="shared" si="20"/>
        <v>50.07964487752837</v>
      </c>
      <c r="P67" s="141">
        <f t="shared" si="20"/>
        <v>51.45132906599493</v>
      </c>
      <c r="Q67" s="141">
        <f t="shared" si="20"/>
        <v>52.785672114174844</v>
      </c>
    </row>
    <row r="69" ht="11.25">
      <c r="C69" s="121" t="str">
        <f>C33</f>
        <v>Cash Flow from Investing Activities</v>
      </c>
    </row>
    <row r="71" spans="4:17" ht="10.5">
      <c r="D71" s="5" t="str">
        <f>D35</f>
        <v>Capital Expenditure - Assets</v>
      </c>
      <c r="J71" s="97">
        <f aca="true" t="shared" si="21" ref="J71:Q72">J35</f>
        <v>-15</v>
      </c>
      <c r="K71" s="97">
        <f t="shared" si="21"/>
        <v>-15.374999999999998</v>
      </c>
      <c r="L71" s="97">
        <f t="shared" si="21"/>
        <v>-15.759374999999997</v>
      </c>
      <c r="M71" s="97">
        <f t="shared" si="21"/>
        <v>-16.153359374999994</v>
      </c>
      <c r="N71" s="97">
        <f t="shared" si="21"/>
        <v>-16.557193359374992</v>
      </c>
      <c r="O71" s="97">
        <f t="shared" si="21"/>
        <v>-16.971123193359364</v>
      </c>
      <c r="P71" s="97">
        <f t="shared" si="21"/>
        <v>-17.395401273193347</v>
      </c>
      <c r="Q71" s="97">
        <f t="shared" si="21"/>
        <v>-17.83028630502318</v>
      </c>
    </row>
    <row r="72" spans="4:17" ht="10.5">
      <c r="D72" s="5" t="str">
        <f>D36</f>
        <v>Capital Expenditure - Intangibles</v>
      </c>
      <c r="J72" s="97">
        <f t="shared" si="21"/>
        <v>-2.5</v>
      </c>
      <c r="K72" s="97">
        <f t="shared" si="21"/>
        <v>-2.5625</v>
      </c>
      <c r="L72" s="97">
        <f t="shared" si="21"/>
        <v>-2.6265625</v>
      </c>
      <c r="M72" s="97">
        <f t="shared" si="21"/>
        <v>-2.6922265624999997</v>
      </c>
      <c r="N72" s="97">
        <f t="shared" si="21"/>
        <v>-2.7595322265624995</v>
      </c>
      <c r="O72" s="97">
        <f t="shared" si="21"/>
        <v>-2.8285205322265616</v>
      </c>
      <c r="P72" s="97">
        <f t="shared" si="21"/>
        <v>-2.8992335455322253</v>
      </c>
      <c r="Q72" s="97">
        <f t="shared" si="21"/>
        <v>-2.971714384170531</v>
      </c>
    </row>
    <row r="73" spans="4:17" ht="10.5">
      <c r="D73" s="5" t="str">
        <f>D37</f>
        <v>Decrease in Other Non-Current Assets</v>
      </c>
      <c r="J73" s="97">
        <f aca="true" t="shared" si="22" ref="J73:Q73">J37</f>
        <v>-1</v>
      </c>
      <c r="K73" s="97">
        <f t="shared" si="22"/>
        <v>-1</v>
      </c>
      <c r="L73" s="97">
        <f t="shared" si="22"/>
        <v>-1</v>
      </c>
      <c r="M73" s="97">
        <f t="shared" si="22"/>
        <v>-1</v>
      </c>
      <c r="N73" s="97">
        <f t="shared" si="22"/>
        <v>-1</v>
      </c>
      <c r="O73" s="97">
        <f t="shared" si="22"/>
        <v>-1</v>
      </c>
      <c r="P73" s="97">
        <f t="shared" si="22"/>
        <v>-1</v>
      </c>
      <c r="Q73" s="97">
        <f t="shared" si="22"/>
        <v>-1</v>
      </c>
    </row>
    <row r="74" spans="4:17" ht="10.5">
      <c r="D74" s="5" t="str">
        <f>D38</f>
        <v>Increase in Other Non-Current Liabilities</v>
      </c>
      <c r="J74" s="97">
        <f aca="true" t="shared" si="23" ref="J74:Q74">J38</f>
        <v>1</v>
      </c>
      <c r="K74" s="97">
        <f t="shared" si="23"/>
        <v>1</v>
      </c>
      <c r="L74" s="97">
        <f t="shared" si="23"/>
        <v>1</v>
      </c>
      <c r="M74" s="97">
        <f t="shared" si="23"/>
        <v>1</v>
      </c>
      <c r="N74" s="97">
        <f t="shared" si="23"/>
        <v>1</v>
      </c>
      <c r="O74" s="97">
        <f t="shared" si="23"/>
        <v>1</v>
      </c>
      <c r="P74" s="97">
        <f t="shared" si="23"/>
        <v>1</v>
      </c>
      <c r="Q74" s="97">
        <f t="shared" si="23"/>
        <v>1</v>
      </c>
    </row>
    <row r="75" spans="4:17" ht="10.5">
      <c r="D75" s="4" t="str">
        <f>D39</f>
        <v>Net Cash Flow from Investing Activities</v>
      </c>
      <c r="J75" s="141">
        <f>SUM(J71:J74)</f>
        <v>-17.5</v>
      </c>
      <c r="K75" s="141">
        <f aca="true" t="shared" si="24" ref="K75:Q75">SUM(K71:K74)</f>
        <v>-17.9375</v>
      </c>
      <c r="L75" s="141">
        <f t="shared" si="24"/>
        <v>-18.385937499999997</v>
      </c>
      <c r="M75" s="141">
        <f t="shared" si="24"/>
        <v>-18.845585937499994</v>
      </c>
      <c r="N75" s="141">
        <f t="shared" si="24"/>
        <v>-19.31672558593749</v>
      </c>
      <c r="O75" s="141">
        <f t="shared" si="24"/>
        <v>-19.799643725585927</v>
      </c>
      <c r="P75" s="141">
        <f t="shared" si="24"/>
        <v>-20.294634818725573</v>
      </c>
      <c r="Q75" s="141">
        <f t="shared" si="24"/>
        <v>-20.80200068919371</v>
      </c>
    </row>
    <row r="77" ht="11.25">
      <c r="C77" s="121" t="str">
        <f>C41</f>
        <v>Cash Flow from Financing Activities</v>
      </c>
    </row>
    <row r="79" spans="4:17" ht="10.5">
      <c r="D79" s="5" t="str">
        <f aca="true" t="shared" si="25" ref="D79:D84">D43</f>
        <v>Debt Drawdowns</v>
      </c>
      <c r="J79" s="97">
        <f>J43</f>
        <v>0</v>
      </c>
      <c r="K79" s="97">
        <f aca="true" t="shared" si="26" ref="K79:Q79">K43</f>
        <v>0</v>
      </c>
      <c r="L79" s="97">
        <f t="shared" si="26"/>
        <v>0</v>
      </c>
      <c r="M79" s="97">
        <f t="shared" si="26"/>
        <v>0</v>
      </c>
      <c r="N79" s="97">
        <f t="shared" si="26"/>
        <v>50</v>
      </c>
      <c r="O79" s="97">
        <f t="shared" si="26"/>
        <v>0</v>
      </c>
      <c r="P79" s="97">
        <f t="shared" si="26"/>
        <v>0</v>
      </c>
      <c r="Q79" s="97">
        <f t="shared" si="26"/>
        <v>0</v>
      </c>
    </row>
    <row r="80" spans="4:17" ht="10.5">
      <c r="D80" s="5" t="str">
        <f t="shared" si="25"/>
        <v>Debt Repayments</v>
      </c>
      <c r="J80" s="97">
        <f aca="true" t="shared" si="27" ref="J80:Q83">J44</f>
        <v>0</v>
      </c>
      <c r="K80" s="97">
        <f t="shared" si="27"/>
        <v>0</v>
      </c>
      <c r="L80" s="97">
        <f t="shared" si="27"/>
        <v>0</v>
      </c>
      <c r="M80" s="97">
        <f t="shared" si="27"/>
        <v>0</v>
      </c>
      <c r="N80" s="97">
        <f t="shared" si="27"/>
        <v>-45</v>
      </c>
      <c r="O80" s="97">
        <f t="shared" si="27"/>
        <v>0</v>
      </c>
      <c r="P80" s="97">
        <f t="shared" si="27"/>
        <v>0</v>
      </c>
      <c r="Q80" s="97">
        <f t="shared" si="27"/>
        <v>0</v>
      </c>
    </row>
    <row r="81" spans="4:17" ht="10.5">
      <c r="D81" s="5" t="str">
        <f t="shared" si="25"/>
        <v>Equity Raisings</v>
      </c>
      <c r="J81" s="97">
        <f t="shared" si="27"/>
        <v>0</v>
      </c>
      <c r="K81" s="97">
        <f t="shared" si="27"/>
        <v>0</v>
      </c>
      <c r="L81" s="97">
        <f t="shared" si="27"/>
        <v>0</v>
      </c>
      <c r="M81" s="97">
        <f t="shared" si="27"/>
        <v>0</v>
      </c>
      <c r="N81" s="97">
        <f t="shared" si="27"/>
        <v>0</v>
      </c>
      <c r="O81" s="97">
        <f t="shared" si="27"/>
        <v>0</v>
      </c>
      <c r="P81" s="97">
        <f t="shared" si="27"/>
        <v>0</v>
      </c>
      <c r="Q81" s="97">
        <f t="shared" si="27"/>
        <v>0</v>
      </c>
    </row>
    <row r="82" spans="4:17" ht="10.5">
      <c r="D82" s="5" t="str">
        <f t="shared" si="25"/>
        <v>Equity Repayments</v>
      </c>
      <c r="J82" s="97">
        <f t="shared" si="27"/>
        <v>0</v>
      </c>
      <c r="K82" s="97">
        <f t="shared" si="27"/>
        <v>0</v>
      </c>
      <c r="L82" s="97">
        <f t="shared" si="27"/>
        <v>0</v>
      </c>
      <c r="M82" s="97">
        <f t="shared" si="27"/>
        <v>0</v>
      </c>
      <c r="N82" s="97">
        <f t="shared" si="27"/>
        <v>0</v>
      </c>
      <c r="O82" s="97">
        <f t="shared" si="27"/>
        <v>0</v>
      </c>
      <c r="P82" s="97">
        <f t="shared" si="27"/>
        <v>0</v>
      </c>
      <c r="Q82" s="97">
        <f t="shared" si="27"/>
        <v>0</v>
      </c>
    </row>
    <row r="83" spans="4:17" ht="10.5">
      <c r="D83" s="5" t="str">
        <f t="shared" si="25"/>
        <v>Dividends Paid During Period</v>
      </c>
      <c r="J83" s="97">
        <f t="shared" si="27"/>
        <v>-14.91875</v>
      </c>
      <c r="K83" s="97">
        <f t="shared" si="27"/>
        <v>-15.32015625</v>
      </c>
      <c r="L83" s="97">
        <f t="shared" si="27"/>
        <v>-15.731597656250003</v>
      </c>
      <c r="M83" s="97">
        <f t="shared" si="27"/>
        <v>-16.153325097656253</v>
      </c>
      <c r="N83" s="97">
        <f t="shared" si="27"/>
        <v>-16.528720725097664</v>
      </c>
      <c r="O83" s="97">
        <f t="shared" si="27"/>
        <v>-16.9149231182251</v>
      </c>
      <c r="P83" s="97">
        <f t="shared" si="27"/>
        <v>-17.369077446180725</v>
      </c>
      <c r="Q83" s="97">
        <f t="shared" si="27"/>
        <v>-17.834585632335237</v>
      </c>
    </row>
    <row r="84" spans="4:17" ht="10.5">
      <c r="D84" s="4" t="str">
        <f t="shared" si="25"/>
        <v>Net Cash Flow from Financing Activities</v>
      </c>
      <c r="J84" s="141">
        <f aca="true" t="shared" si="28" ref="J84:Q84">SUM(J77:J83)</f>
        <v>-14.91875</v>
      </c>
      <c r="K84" s="141">
        <f t="shared" si="28"/>
        <v>-15.32015625</v>
      </c>
      <c r="L84" s="141">
        <f t="shared" si="28"/>
        <v>-15.731597656250003</v>
      </c>
      <c r="M84" s="141">
        <f t="shared" si="28"/>
        <v>-16.153325097656253</v>
      </c>
      <c r="N84" s="141">
        <f t="shared" si="28"/>
        <v>-11.528720725097664</v>
      </c>
      <c r="O84" s="141">
        <f t="shared" si="28"/>
        <v>-16.9149231182251</v>
      </c>
      <c r="P84" s="141">
        <f t="shared" si="28"/>
        <v>-17.369077446180725</v>
      </c>
      <c r="Q84" s="141">
        <f t="shared" si="28"/>
        <v>-17.834585632335237</v>
      </c>
    </row>
    <row r="86" spans="3:17" ht="12" thickBot="1">
      <c r="C86" s="121" t="str">
        <f>C50</f>
        <v>Net Increase / (Decrease) in Cash Held</v>
      </c>
      <c r="J86" s="140">
        <f aca="true" t="shared" si="29" ref="J86:Q86">J67+J75+J84</f>
        <v>23.57097602739727</v>
      </c>
      <c r="K86" s="140">
        <f t="shared" si="29"/>
        <v>11.148336900684914</v>
      </c>
      <c r="L86" s="140">
        <f t="shared" si="29"/>
        <v>12.486971075503867</v>
      </c>
      <c r="M86" s="140">
        <f t="shared" si="29"/>
        <v>12.814444141480301</v>
      </c>
      <c r="N86" s="140">
        <f t="shared" si="29"/>
        <v>18.06426820362666</v>
      </c>
      <c r="O86" s="140">
        <f t="shared" si="29"/>
        <v>13.365078033717339</v>
      </c>
      <c r="P86" s="140">
        <f t="shared" si="29"/>
        <v>13.787616801088635</v>
      </c>
      <c r="Q86" s="140">
        <f t="shared" si="29"/>
        <v>14.149085792645895</v>
      </c>
    </row>
    <row r="87" ht="11.25" thickTop="1"/>
    <row r="89" ht="12.75">
      <c r="B89" s="120" t="s">
        <v>430</v>
      </c>
    </row>
    <row r="91" spans="4:17" ht="10.5">
      <c r="D91" s="5" t="str">
        <f>$D$31</f>
        <v>Net Cash Flow from Operating Activities</v>
      </c>
      <c r="J91" s="97">
        <f aca="true" t="shared" si="30" ref="J91:Q91">J$31</f>
        <v>55.98972602739727</v>
      </c>
      <c r="K91" s="97">
        <f t="shared" si="30"/>
        <v>44.405993150684914</v>
      </c>
      <c r="L91" s="97">
        <f t="shared" si="30"/>
        <v>46.604506231753874</v>
      </c>
      <c r="M91" s="97">
        <f t="shared" si="30"/>
        <v>47.81335517663656</v>
      </c>
      <c r="N91" s="97">
        <f t="shared" si="30"/>
        <v>48.909714514661815</v>
      </c>
      <c r="O91" s="97">
        <f t="shared" si="30"/>
        <v>50.07964487752837</v>
      </c>
      <c r="P91" s="97">
        <f t="shared" si="30"/>
        <v>51.45132906599494</v>
      </c>
      <c r="Q91" s="97">
        <f t="shared" si="30"/>
        <v>52.785672114174844</v>
      </c>
    </row>
    <row r="92" spans="4:17" ht="10.5">
      <c r="D92" s="5" t="str">
        <f>$D$39</f>
        <v>Net Cash Flow from Investing Activities</v>
      </c>
      <c r="J92" s="97">
        <f aca="true" t="shared" si="31" ref="J92:Q92">J$39</f>
        <v>-17.5</v>
      </c>
      <c r="K92" s="97">
        <f t="shared" si="31"/>
        <v>-17.9375</v>
      </c>
      <c r="L92" s="97">
        <f t="shared" si="31"/>
        <v>-18.385937499999997</v>
      </c>
      <c r="M92" s="97">
        <f t="shared" si="31"/>
        <v>-18.845585937499994</v>
      </c>
      <c r="N92" s="97">
        <f t="shared" si="31"/>
        <v>-19.31672558593749</v>
      </c>
      <c r="O92" s="97">
        <f t="shared" si="31"/>
        <v>-19.799643725585927</v>
      </c>
      <c r="P92" s="97">
        <f t="shared" si="31"/>
        <v>-20.294634818725573</v>
      </c>
      <c r="Q92" s="97">
        <f t="shared" si="31"/>
        <v>-20.80200068919371</v>
      </c>
    </row>
    <row r="93" spans="4:17" ht="10.5">
      <c r="D93" s="117" t="str">
        <f>"(Add Back) "&amp;$D$27</f>
        <v>(Add Back) Interest Paid</v>
      </c>
      <c r="J93" s="99">
        <f aca="true" t="shared" si="32" ref="J93:Q93">-J$27</f>
        <v>3.25</v>
      </c>
      <c r="K93" s="99">
        <f t="shared" si="32"/>
        <v>3.25</v>
      </c>
      <c r="L93" s="99">
        <f t="shared" si="32"/>
        <v>3.25</v>
      </c>
      <c r="M93" s="99">
        <f t="shared" si="32"/>
        <v>3.25</v>
      </c>
      <c r="N93" s="99">
        <f t="shared" si="32"/>
        <v>3.4125</v>
      </c>
      <c r="O93" s="99">
        <f t="shared" si="32"/>
        <v>3.575</v>
      </c>
      <c r="P93" s="99">
        <f t="shared" si="32"/>
        <v>3.575</v>
      </c>
      <c r="Q93" s="99">
        <f t="shared" si="32"/>
        <v>3.575</v>
      </c>
    </row>
    <row r="94" spans="4:17" ht="10.5">
      <c r="D94" s="110" t="s">
        <v>23</v>
      </c>
      <c r="J94" s="100">
        <f aca="true" t="shared" si="33" ref="J94:Q94">SUM(J91:J93)</f>
        <v>41.73972602739727</v>
      </c>
      <c r="K94" s="100">
        <f t="shared" si="33"/>
        <v>29.718493150684914</v>
      </c>
      <c r="L94" s="100">
        <f t="shared" si="33"/>
        <v>31.468568731753876</v>
      </c>
      <c r="M94" s="100">
        <f t="shared" si="33"/>
        <v>32.21776923913657</v>
      </c>
      <c r="N94" s="100">
        <f t="shared" si="33"/>
        <v>33.005488928724326</v>
      </c>
      <c r="O94" s="100">
        <f t="shared" si="33"/>
        <v>33.85500115194244</v>
      </c>
      <c r="P94" s="100">
        <f t="shared" si="33"/>
        <v>34.73169424726937</v>
      </c>
      <c r="Q94" s="100">
        <f t="shared" si="33"/>
        <v>35.558671424981135</v>
      </c>
    </row>
    <row r="95" spans="4:17" ht="10.5">
      <c r="D95" s="5" t="str">
        <f>$D$27</f>
        <v>Interest Paid</v>
      </c>
      <c r="J95" s="97">
        <f aca="true" t="shared" si="34" ref="J95:Q95">J$27</f>
        <v>-3.25</v>
      </c>
      <c r="K95" s="97">
        <f t="shared" si="34"/>
        <v>-3.25</v>
      </c>
      <c r="L95" s="97">
        <f t="shared" si="34"/>
        <v>-3.25</v>
      </c>
      <c r="M95" s="97">
        <f t="shared" si="34"/>
        <v>-3.25</v>
      </c>
      <c r="N95" s="97">
        <f t="shared" si="34"/>
        <v>-3.4125</v>
      </c>
      <c r="O95" s="97">
        <f t="shared" si="34"/>
        <v>-3.575</v>
      </c>
      <c r="P95" s="97">
        <f t="shared" si="34"/>
        <v>-3.575</v>
      </c>
      <c r="Q95" s="97">
        <f t="shared" si="34"/>
        <v>-3.575</v>
      </c>
    </row>
    <row r="96" spans="4:17" ht="10.5">
      <c r="D96" s="5" t="str">
        <f>D43</f>
        <v>Debt Drawdowns</v>
      </c>
      <c r="J96" s="97">
        <f>J43</f>
        <v>0</v>
      </c>
      <c r="K96" s="97">
        <f aca="true" t="shared" si="35" ref="K96:Q96">K43</f>
        <v>0</v>
      </c>
      <c r="L96" s="97">
        <f t="shared" si="35"/>
        <v>0</v>
      </c>
      <c r="M96" s="97">
        <f t="shared" si="35"/>
        <v>0</v>
      </c>
      <c r="N96" s="97">
        <f t="shared" si="35"/>
        <v>50</v>
      </c>
      <c r="O96" s="97">
        <f t="shared" si="35"/>
        <v>0</v>
      </c>
      <c r="P96" s="97">
        <f t="shared" si="35"/>
        <v>0</v>
      </c>
      <c r="Q96" s="97">
        <f t="shared" si="35"/>
        <v>0</v>
      </c>
    </row>
    <row r="97" spans="4:17" ht="10.5">
      <c r="D97" s="5" t="str">
        <f>D44</f>
        <v>Debt Repayments</v>
      </c>
      <c r="J97" s="99">
        <f>J44</f>
        <v>0</v>
      </c>
      <c r="K97" s="99">
        <f aca="true" t="shared" si="36" ref="K97:Q97">K44</f>
        <v>0</v>
      </c>
      <c r="L97" s="99">
        <f t="shared" si="36"/>
        <v>0</v>
      </c>
      <c r="M97" s="99">
        <f t="shared" si="36"/>
        <v>0</v>
      </c>
      <c r="N97" s="99">
        <f t="shared" si="36"/>
        <v>-45</v>
      </c>
      <c r="O97" s="99">
        <f t="shared" si="36"/>
        <v>0</v>
      </c>
      <c r="P97" s="99">
        <f t="shared" si="36"/>
        <v>0</v>
      </c>
      <c r="Q97" s="99">
        <f t="shared" si="36"/>
        <v>0</v>
      </c>
    </row>
    <row r="98" spans="4:17" ht="10.5">
      <c r="D98" s="110" t="s">
        <v>24</v>
      </c>
      <c r="J98" s="100">
        <f aca="true" t="shared" si="37" ref="J98:Q98">SUM(J94:J97)</f>
        <v>38.48972602739727</v>
      </c>
      <c r="K98" s="100">
        <f t="shared" si="37"/>
        <v>26.468493150684914</v>
      </c>
      <c r="L98" s="100">
        <f t="shared" si="37"/>
        <v>28.218568731753876</v>
      </c>
      <c r="M98" s="100">
        <f t="shared" si="37"/>
        <v>28.967769239136572</v>
      </c>
      <c r="N98" s="100">
        <f t="shared" si="37"/>
        <v>34.592988928724324</v>
      </c>
      <c r="O98" s="100">
        <f t="shared" si="37"/>
        <v>30.28000115194244</v>
      </c>
      <c r="P98" s="100">
        <f t="shared" si="37"/>
        <v>31.156694247269368</v>
      </c>
      <c r="Q98" s="100">
        <f t="shared" si="37"/>
        <v>31.983671424981136</v>
      </c>
    </row>
    <row r="99" spans="4:17" ht="10.5">
      <c r="D99" s="5" t="str">
        <f>D45</f>
        <v>Equity Raisings</v>
      </c>
      <c r="J99" s="97">
        <f>J45</f>
        <v>0</v>
      </c>
      <c r="K99" s="97">
        <f aca="true" t="shared" si="38" ref="K99:Q99">K45</f>
        <v>0</v>
      </c>
      <c r="L99" s="97">
        <f t="shared" si="38"/>
        <v>0</v>
      </c>
      <c r="M99" s="97">
        <f t="shared" si="38"/>
        <v>0</v>
      </c>
      <c r="N99" s="97">
        <f t="shared" si="38"/>
        <v>0</v>
      </c>
      <c r="O99" s="97">
        <f t="shared" si="38"/>
        <v>0</v>
      </c>
      <c r="P99" s="97">
        <f t="shared" si="38"/>
        <v>0</v>
      </c>
      <c r="Q99" s="97">
        <f t="shared" si="38"/>
        <v>0</v>
      </c>
    </row>
    <row r="100" spans="4:17" ht="10.5">
      <c r="D100" s="5" t="str">
        <f>D46</f>
        <v>Equity Repayments</v>
      </c>
      <c r="J100" s="97">
        <f>J46</f>
        <v>0</v>
      </c>
      <c r="K100" s="97">
        <f aca="true" t="shared" si="39" ref="K100:Q100">K46</f>
        <v>0</v>
      </c>
      <c r="L100" s="97">
        <f t="shared" si="39"/>
        <v>0</v>
      </c>
      <c r="M100" s="97">
        <f t="shared" si="39"/>
        <v>0</v>
      </c>
      <c r="N100" s="97">
        <f t="shared" si="39"/>
        <v>0</v>
      </c>
      <c r="O100" s="97">
        <f t="shared" si="39"/>
        <v>0</v>
      </c>
      <c r="P100" s="97">
        <f t="shared" si="39"/>
        <v>0</v>
      </c>
      <c r="Q100" s="97">
        <f t="shared" si="39"/>
        <v>0</v>
      </c>
    </row>
    <row r="101" spans="4:17" ht="10.5">
      <c r="D101" s="110" t="s">
        <v>284</v>
      </c>
      <c r="J101" s="141">
        <f aca="true" t="shared" si="40" ref="J101:Q101">SUM(J98:J100)</f>
        <v>38.48972602739727</v>
      </c>
      <c r="K101" s="141">
        <f t="shared" si="40"/>
        <v>26.468493150684914</v>
      </c>
      <c r="L101" s="141">
        <f t="shared" si="40"/>
        <v>28.218568731753876</v>
      </c>
      <c r="M101" s="141">
        <f t="shared" si="40"/>
        <v>28.967769239136572</v>
      </c>
      <c r="N101" s="141">
        <f t="shared" si="40"/>
        <v>34.592988928724324</v>
      </c>
      <c r="O101" s="141">
        <f t="shared" si="40"/>
        <v>30.28000115194244</v>
      </c>
      <c r="P101" s="141">
        <f t="shared" si="40"/>
        <v>31.156694247269368</v>
      </c>
      <c r="Q101" s="141">
        <f t="shared" si="40"/>
        <v>31.983671424981136</v>
      </c>
    </row>
    <row r="102" spans="4:17" ht="10.5">
      <c r="D102" s="5" t="str">
        <f>$D$47</f>
        <v>Dividends Paid During Period</v>
      </c>
      <c r="J102" s="97">
        <f aca="true" t="shared" si="41" ref="J102:Q102">J$47</f>
        <v>-14.91875</v>
      </c>
      <c r="K102" s="97">
        <f t="shared" si="41"/>
        <v>-15.32015625</v>
      </c>
      <c r="L102" s="97">
        <f t="shared" si="41"/>
        <v>-15.731597656250003</v>
      </c>
      <c r="M102" s="97">
        <f t="shared" si="41"/>
        <v>-16.153325097656253</v>
      </c>
      <c r="N102" s="97">
        <f t="shared" si="41"/>
        <v>-16.528720725097664</v>
      </c>
      <c r="O102" s="97">
        <f t="shared" si="41"/>
        <v>-16.9149231182251</v>
      </c>
      <c r="P102" s="97">
        <f t="shared" si="41"/>
        <v>-17.369077446180725</v>
      </c>
      <c r="Q102" s="97">
        <f t="shared" si="41"/>
        <v>-17.834585632335237</v>
      </c>
    </row>
    <row r="103" spans="4:17" ht="11.25" thickBot="1">
      <c r="D103" s="4" t="str">
        <f>$C$50</f>
        <v>Net Increase / (Decrease) in Cash Held</v>
      </c>
      <c r="J103" s="140">
        <f aca="true" t="shared" si="42" ref="J103:Q103">SUM(J101:J102)</f>
        <v>23.57097602739727</v>
      </c>
      <c r="K103" s="140">
        <f t="shared" si="42"/>
        <v>11.148336900684914</v>
      </c>
      <c r="L103" s="140">
        <f t="shared" si="42"/>
        <v>12.486971075503874</v>
      </c>
      <c r="M103" s="140">
        <f t="shared" si="42"/>
        <v>12.814444141480319</v>
      </c>
      <c r="N103" s="140">
        <f t="shared" si="42"/>
        <v>18.06426820362666</v>
      </c>
      <c r="O103" s="140">
        <f t="shared" si="42"/>
        <v>13.365078033717339</v>
      </c>
      <c r="P103" s="140">
        <f t="shared" si="42"/>
        <v>13.787616801088642</v>
      </c>
      <c r="Q103" s="140">
        <f t="shared" si="42"/>
        <v>14.149085792645899</v>
      </c>
    </row>
    <row r="104" ht="11.25" thickTop="1"/>
    <row r="105" spans="5:17" ht="10.5" hidden="1" outlineLevel="2">
      <c r="E105" s="6" t="s">
        <v>25</v>
      </c>
      <c r="J105" s="142">
        <f aca="true" t="shared" si="43" ref="J105:Q105">IF(ISERROR(J31+J39+J48-J50),1,0)</f>
        <v>0</v>
      </c>
      <c r="K105" s="142">
        <f t="shared" si="43"/>
        <v>0</v>
      </c>
      <c r="L105" s="142">
        <f t="shared" si="43"/>
        <v>0</v>
      </c>
      <c r="M105" s="142">
        <f t="shared" si="43"/>
        <v>0</v>
      </c>
      <c r="N105" s="142">
        <f t="shared" si="43"/>
        <v>0</v>
      </c>
      <c r="O105" s="142">
        <f t="shared" si="43"/>
        <v>0</v>
      </c>
      <c r="P105" s="142">
        <f t="shared" si="43"/>
        <v>0</v>
      </c>
      <c r="Q105" s="142">
        <f t="shared" si="43"/>
        <v>0</v>
      </c>
    </row>
    <row r="106" spans="5:17" ht="10.5" hidden="1" outlineLevel="2">
      <c r="E106" s="6" t="s">
        <v>27</v>
      </c>
      <c r="J106" s="142">
        <f aca="true" t="shared" si="44" ref="J106:Q106">IF(ISERROR(J67+J75+J84-J86),1,0)</f>
        <v>0</v>
      </c>
      <c r="K106" s="142">
        <f t="shared" si="44"/>
        <v>0</v>
      </c>
      <c r="L106" s="142">
        <f t="shared" si="44"/>
        <v>0</v>
      </c>
      <c r="M106" s="142">
        <f t="shared" si="44"/>
        <v>0</v>
      </c>
      <c r="N106" s="142">
        <f t="shared" si="44"/>
        <v>0</v>
      </c>
      <c r="O106" s="142">
        <f t="shared" si="44"/>
        <v>0</v>
      </c>
      <c r="P106" s="142">
        <f t="shared" si="44"/>
        <v>0</v>
      </c>
      <c r="Q106" s="142">
        <f t="shared" si="44"/>
        <v>0</v>
      </c>
    </row>
    <row r="107" spans="5:17" ht="10.5" hidden="1" outlineLevel="2">
      <c r="E107" s="6" t="s">
        <v>26</v>
      </c>
      <c r="J107" s="143">
        <f aca="true" t="shared" si="45" ref="J107:Q107">IF(J105&lt;&gt;0,0,IF(ROUND(J31+J39+J48-J50,5)&lt;&gt;0,1,0))</f>
        <v>0</v>
      </c>
      <c r="K107" s="143">
        <f t="shared" si="45"/>
        <v>0</v>
      </c>
      <c r="L107" s="143">
        <f t="shared" si="45"/>
        <v>0</v>
      </c>
      <c r="M107" s="143">
        <f t="shared" si="45"/>
        <v>0</v>
      </c>
      <c r="N107" s="143">
        <f t="shared" si="45"/>
        <v>0</v>
      </c>
      <c r="O107" s="143">
        <f t="shared" si="45"/>
        <v>0</v>
      </c>
      <c r="P107" s="143">
        <f t="shared" si="45"/>
        <v>0</v>
      </c>
      <c r="Q107" s="143">
        <f t="shared" si="45"/>
        <v>0</v>
      </c>
    </row>
    <row r="108" spans="5:17" ht="10.5" hidden="1" outlineLevel="2">
      <c r="E108" s="6" t="s">
        <v>28</v>
      </c>
      <c r="J108" s="143">
        <f aca="true" t="shared" si="46" ref="J108:Q108">IF(J106&lt;&gt;0,0,IF(ROUND(J67+J75+J84-J86,5)&lt;&gt;0,1,0))</f>
        <v>0</v>
      </c>
      <c r="K108" s="143">
        <f t="shared" si="46"/>
        <v>0</v>
      </c>
      <c r="L108" s="143">
        <f t="shared" si="46"/>
        <v>0</v>
      </c>
      <c r="M108" s="143">
        <f t="shared" si="46"/>
        <v>0</v>
      </c>
      <c r="N108" s="143">
        <f t="shared" si="46"/>
        <v>0</v>
      </c>
      <c r="O108" s="143">
        <f t="shared" si="46"/>
        <v>0</v>
      </c>
      <c r="P108" s="143">
        <f t="shared" si="46"/>
        <v>0</v>
      </c>
      <c r="Q108" s="143">
        <f t="shared" si="46"/>
        <v>0</v>
      </c>
    </row>
    <row r="109" spans="5:17" ht="10.5" hidden="1" outlineLevel="2">
      <c r="E109" s="6" t="s">
        <v>29</v>
      </c>
      <c r="J109" s="143">
        <f aca="true" t="shared" si="47" ref="J109:Q109">IF(OR(J105&lt;&gt;0,J106&lt;&gt;0),0,IF(ROUND(J50-J86,5)&lt;&gt;0,1,0))</f>
        <v>0</v>
      </c>
      <c r="K109" s="143">
        <f t="shared" si="47"/>
        <v>0</v>
      </c>
      <c r="L109" s="143">
        <f t="shared" si="47"/>
        <v>0</v>
      </c>
      <c r="M109" s="143">
        <f t="shared" si="47"/>
        <v>0</v>
      </c>
      <c r="N109" s="143">
        <f t="shared" si="47"/>
        <v>0</v>
      </c>
      <c r="O109" s="143">
        <f t="shared" si="47"/>
        <v>0</v>
      </c>
      <c r="P109" s="143">
        <f t="shared" si="47"/>
        <v>0</v>
      </c>
      <c r="Q109" s="143">
        <f t="shared" si="47"/>
        <v>0</v>
      </c>
    </row>
    <row r="110" spans="5:17" ht="10.5" hidden="1" outlineLevel="2">
      <c r="E110" s="6" t="s">
        <v>30</v>
      </c>
      <c r="J110" s="125">
        <f aca="true" t="shared" si="48" ref="J110:Q110">IF(J105&lt;&gt;0,0,IF(ROUND(J86-J103,5)&lt;&gt;0,1,0))</f>
        <v>0</v>
      </c>
      <c r="K110" s="125">
        <f t="shared" si="48"/>
        <v>0</v>
      </c>
      <c r="L110" s="125">
        <f t="shared" si="48"/>
        <v>0</v>
      </c>
      <c r="M110" s="125">
        <f t="shared" si="48"/>
        <v>0</v>
      </c>
      <c r="N110" s="125">
        <f t="shared" si="48"/>
        <v>0</v>
      </c>
      <c r="O110" s="125">
        <f t="shared" si="48"/>
        <v>0</v>
      </c>
      <c r="P110" s="125">
        <f t="shared" si="48"/>
        <v>0</v>
      </c>
      <c r="Q110" s="125">
        <f t="shared" si="48"/>
        <v>0</v>
      </c>
    </row>
    <row r="111" spans="4:17" ht="10.5" collapsed="1">
      <c r="D111" s="6" t="s">
        <v>412</v>
      </c>
      <c r="I111" s="101">
        <f>IF(ISERROR(SUM(J111:Q111)),0,MIN(SUM(J111:Q111),1))</f>
        <v>0</v>
      </c>
      <c r="J111" s="98">
        <f aca="true" t="shared" si="49" ref="J111:Q111">MIN(SUM(J105:J110),1)</f>
        <v>0</v>
      </c>
      <c r="K111" s="98">
        <f t="shared" si="49"/>
        <v>0</v>
      </c>
      <c r="L111" s="98">
        <f t="shared" si="49"/>
        <v>0</v>
      </c>
      <c r="M111" s="98">
        <f t="shared" si="49"/>
        <v>0</v>
      </c>
      <c r="N111" s="98">
        <f t="shared" si="49"/>
        <v>0</v>
      </c>
      <c r="O111" s="98">
        <f t="shared" si="49"/>
        <v>0</v>
      </c>
      <c r="P111" s="98">
        <f t="shared" si="49"/>
        <v>0</v>
      </c>
      <c r="Q111" s="98">
        <f t="shared" si="49"/>
        <v>0</v>
      </c>
    </row>
    <row r="113" ht="10.5">
      <c r="C113" s="110" t="s">
        <v>204</v>
      </c>
    </row>
    <row r="114" spans="3:4" ht="10.5">
      <c r="C114" s="139">
        <v>1</v>
      </c>
      <c r="D114" s="117" t="str">
        <f>"All values are stated in "&amp;INDEX(LU_Denom,DD_TS_Denom)&amp;" unless stated otherwise."</f>
        <v>All values are stated in $Millions unless stated otherwise.</v>
      </c>
    </row>
    <row r="116" spans="3:9" ht="10.5">
      <c r="C116" s="9" t="str">
        <f>"Go to "&amp;Err_Chk_11_Hdg</f>
        <v>Go to Income Statement</v>
      </c>
      <c r="D116" s="8"/>
      <c r="E116" s="8"/>
      <c r="F116" s="8"/>
      <c r="G116" s="8"/>
      <c r="H116" s="8"/>
      <c r="I116" s="8"/>
    </row>
    <row r="117" spans="3:9" ht="10.5">
      <c r="C117" s="9"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6"/>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11. Checks - Best Practice Model Example (2 Errors Detected)</v>
      </c>
    </row>
    <row r="3" spans="2:10" ht="10.5">
      <c r="B3" s="205" t="s">
        <v>51</v>
      </c>
      <c r="C3" s="205"/>
      <c r="D3" s="205"/>
      <c r="E3" s="205"/>
      <c r="F3" s="205"/>
      <c r="G3" s="205"/>
      <c r="H3" s="205"/>
      <c r="I3" s="205"/>
      <c r="J3" s="9"/>
    </row>
    <row r="6" spans="1:17" s="19" customFormat="1" ht="12.75">
      <c r="A6" s="109" t="s">
        <v>52</v>
      </c>
      <c r="B6" s="179" t="s">
        <v>53</v>
      </c>
      <c r="C6" s="16"/>
      <c r="D6" s="16"/>
      <c r="E6" s="16"/>
      <c r="F6" s="16"/>
      <c r="G6" s="16"/>
      <c r="H6" s="16"/>
      <c r="I6" s="16"/>
      <c r="J6" s="16"/>
      <c r="K6" s="16"/>
      <c r="L6" s="16"/>
      <c r="M6" s="16"/>
      <c r="N6" s="16"/>
      <c r="O6" s="16"/>
      <c r="P6" s="16"/>
      <c r="Q6" s="180" t="s">
        <v>512</v>
      </c>
    </row>
    <row r="7" ht="10.5"/>
    <row r="8" spans="2:17" ht="18.75" customHeight="1">
      <c r="B8" s="207">
        <v>1</v>
      </c>
      <c r="C8" s="207"/>
      <c r="D8" s="208" t="str">
        <f>Overview_SC!C9</f>
        <v>Overview</v>
      </c>
      <c r="E8" s="208"/>
      <c r="F8" s="208"/>
      <c r="G8" s="208"/>
      <c r="H8" s="208"/>
      <c r="I8" s="208"/>
      <c r="J8" s="208"/>
      <c r="K8" s="208"/>
      <c r="L8" s="208"/>
      <c r="M8" s="208"/>
      <c r="N8" s="208"/>
      <c r="O8" s="208"/>
      <c r="P8" s="208"/>
      <c r="Q8" s="181">
        <v>4</v>
      </c>
    </row>
    <row r="9" spans="4:17" ht="11.25">
      <c r="D9" s="209" t="s">
        <v>194</v>
      </c>
      <c r="E9" s="209"/>
      <c r="F9" s="210" t="str">
        <f>Notes_SSC!C9</f>
        <v>Notes</v>
      </c>
      <c r="G9" s="210"/>
      <c r="H9" s="210"/>
      <c r="I9" s="210"/>
      <c r="J9" s="210"/>
      <c r="K9" s="210"/>
      <c r="L9" s="210"/>
      <c r="M9" s="210"/>
      <c r="N9" s="210"/>
      <c r="O9" s="210"/>
      <c r="P9" s="210"/>
      <c r="Q9" s="182">
        <v>5</v>
      </c>
    </row>
    <row r="10" spans="6:17" ht="10.5" outlineLevel="1">
      <c r="F10" s="211" t="s">
        <v>195</v>
      </c>
      <c r="G10" s="211"/>
      <c r="H10" s="212" t="str">
        <f>Notes_BO!B1</f>
        <v>Model Notes</v>
      </c>
      <c r="I10" s="212"/>
      <c r="J10" s="212"/>
      <c r="K10" s="212"/>
      <c r="L10" s="212"/>
      <c r="M10" s="212"/>
      <c r="N10" s="212"/>
      <c r="O10" s="212"/>
      <c r="P10" s="212"/>
      <c r="Q10" s="183">
        <v>6</v>
      </c>
    </row>
    <row r="11" spans="4:17" ht="11.25">
      <c r="D11" s="209" t="s">
        <v>199</v>
      </c>
      <c r="E11" s="209"/>
      <c r="F11" s="210" t="str">
        <f>Keys_SSC!C9</f>
        <v>Keys</v>
      </c>
      <c r="G11" s="210"/>
      <c r="H11" s="210"/>
      <c r="I11" s="210"/>
      <c r="J11" s="210"/>
      <c r="K11" s="210"/>
      <c r="L11" s="210"/>
      <c r="M11" s="210"/>
      <c r="N11" s="210"/>
      <c r="O11" s="210"/>
      <c r="P11" s="210"/>
      <c r="Q11" s="182">
        <v>7</v>
      </c>
    </row>
    <row r="12" spans="6:17" ht="10.5" outlineLevel="1">
      <c r="F12" s="211" t="s">
        <v>195</v>
      </c>
      <c r="G12" s="211"/>
      <c r="H12" s="212" t="str">
        <f>Keys_BO!B1</f>
        <v>Keys</v>
      </c>
      <c r="I12" s="212"/>
      <c r="J12" s="212"/>
      <c r="K12" s="212"/>
      <c r="L12" s="212"/>
      <c r="M12" s="212"/>
      <c r="N12" s="212"/>
      <c r="O12" s="212"/>
      <c r="P12" s="212"/>
      <c r="Q12" s="183">
        <v>8</v>
      </c>
    </row>
    <row r="13" spans="8:17" ht="10.5" outlineLevel="1">
      <c r="H13" s="108" t="s">
        <v>203</v>
      </c>
      <c r="I13" s="213" t="str">
        <f>TOC_Hdg_1</f>
        <v>Formats &amp; Styles Key</v>
      </c>
      <c r="J13" s="213"/>
      <c r="K13" s="213"/>
      <c r="L13" s="213"/>
      <c r="M13" s="213"/>
      <c r="N13" s="213"/>
      <c r="O13" s="213"/>
      <c r="P13" s="213"/>
      <c r="Q13" s="108" t="s">
        <v>203</v>
      </c>
    </row>
    <row r="14" spans="8:17" ht="10.5" outlineLevel="1">
      <c r="H14" s="108" t="s">
        <v>203</v>
      </c>
      <c r="I14" s="213" t="str">
        <f>TOC_Hdg_2</f>
        <v>Sheet Naming Key</v>
      </c>
      <c r="J14" s="213"/>
      <c r="K14" s="213"/>
      <c r="L14" s="213"/>
      <c r="M14" s="213"/>
      <c r="N14" s="213"/>
      <c r="O14" s="213"/>
      <c r="P14" s="213"/>
      <c r="Q14" s="108" t="s">
        <v>203</v>
      </c>
    </row>
    <row r="15" spans="8:17" ht="10.5" outlineLevel="1">
      <c r="H15" s="108" t="s">
        <v>203</v>
      </c>
      <c r="I15" s="213" t="str">
        <f>TOC_Hdg_3</f>
        <v>Range Naming Key</v>
      </c>
      <c r="J15" s="213"/>
      <c r="K15" s="213"/>
      <c r="L15" s="213"/>
      <c r="M15" s="213"/>
      <c r="N15" s="213"/>
      <c r="O15" s="213"/>
      <c r="P15" s="213"/>
      <c r="Q15" s="108" t="s">
        <v>203</v>
      </c>
    </row>
    <row r="16" spans="2:17" ht="18.75" customHeight="1">
      <c r="B16" s="207">
        <v>2</v>
      </c>
      <c r="C16" s="207"/>
      <c r="D16" s="208" t="str">
        <f>Assumptions_SC!C9</f>
        <v>Assumptions</v>
      </c>
      <c r="E16" s="208"/>
      <c r="F16" s="208"/>
      <c r="G16" s="208"/>
      <c r="H16" s="208"/>
      <c r="I16" s="208"/>
      <c r="J16" s="208"/>
      <c r="K16" s="208"/>
      <c r="L16" s="208"/>
      <c r="M16" s="208"/>
      <c r="N16" s="208"/>
      <c r="O16" s="208"/>
      <c r="P16" s="208"/>
      <c r="Q16" s="181">
        <v>11</v>
      </c>
    </row>
    <row r="17" spans="4:17" ht="11.25">
      <c r="D17" s="209" t="s">
        <v>523</v>
      </c>
      <c r="E17" s="209"/>
      <c r="F17" s="210" t="str">
        <f>TS_Ass_SSC!C9</f>
        <v>Time Series Assumptions</v>
      </c>
      <c r="G17" s="210"/>
      <c r="H17" s="210"/>
      <c r="I17" s="210"/>
      <c r="J17" s="210"/>
      <c r="K17" s="210"/>
      <c r="L17" s="210"/>
      <c r="M17" s="210"/>
      <c r="N17" s="210"/>
      <c r="O17" s="210"/>
      <c r="P17" s="210"/>
      <c r="Q17" s="182">
        <v>12</v>
      </c>
    </row>
    <row r="18" spans="6:17" ht="10.5" outlineLevel="1">
      <c r="F18" s="211" t="s">
        <v>195</v>
      </c>
      <c r="G18" s="211"/>
      <c r="H18" s="212" t="str">
        <f>TS_BA!B1</f>
        <v>Time Series Assumptions</v>
      </c>
      <c r="I18" s="212"/>
      <c r="J18" s="212"/>
      <c r="K18" s="212"/>
      <c r="L18" s="212"/>
      <c r="M18" s="212"/>
      <c r="N18" s="212"/>
      <c r="O18" s="212"/>
      <c r="P18" s="212"/>
      <c r="Q18" s="183">
        <v>13</v>
      </c>
    </row>
    <row r="19" spans="4:17" ht="11.25">
      <c r="D19" s="209" t="s">
        <v>525</v>
      </c>
      <c r="E19" s="209"/>
      <c r="F19" s="210" t="str">
        <f>Fcast_Ass_SSC!C9</f>
        <v>Forecast Assumptions</v>
      </c>
      <c r="G19" s="210"/>
      <c r="H19" s="210"/>
      <c r="I19" s="210"/>
      <c r="J19" s="210"/>
      <c r="K19" s="210"/>
      <c r="L19" s="210"/>
      <c r="M19" s="210"/>
      <c r="N19" s="210"/>
      <c r="O19" s="210"/>
      <c r="P19" s="210"/>
      <c r="Q19" s="182">
        <v>14</v>
      </c>
    </row>
    <row r="20" spans="6:17" ht="10.5" outlineLevel="1">
      <c r="F20" s="211" t="s">
        <v>195</v>
      </c>
      <c r="G20" s="211"/>
      <c r="H20" s="212" t="str">
        <f>Fcast_TA!B1</f>
        <v>Assumptions</v>
      </c>
      <c r="I20" s="212"/>
      <c r="J20" s="212"/>
      <c r="K20" s="212"/>
      <c r="L20" s="212"/>
      <c r="M20" s="212"/>
      <c r="N20" s="212"/>
      <c r="O20" s="212"/>
      <c r="P20" s="212"/>
      <c r="Q20" s="183">
        <v>15</v>
      </c>
    </row>
    <row r="21" spans="8:17" ht="10.5" outlineLevel="1">
      <c r="H21" s="108" t="s">
        <v>203</v>
      </c>
      <c r="I21" s="213" t="str">
        <f>TOC_Hdg_5</f>
        <v>Operational - Assumptions</v>
      </c>
      <c r="J21" s="213"/>
      <c r="K21" s="213"/>
      <c r="L21" s="213"/>
      <c r="M21" s="213"/>
      <c r="N21" s="213"/>
      <c r="O21" s="213"/>
      <c r="P21" s="213"/>
      <c r="Q21" s="108" t="s">
        <v>203</v>
      </c>
    </row>
    <row r="22" spans="8:17" ht="10.5" outlineLevel="1">
      <c r="H22" s="108" t="s">
        <v>203</v>
      </c>
      <c r="I22" s="213" t="str">
        <f>TOC_Hdg_9</f>
        <v>Working Capital - Assumptions</v>
      </c>
      <c r="J22" s="213"/>
      <c r="K22" s="213"/>
      <c r="L22" s="213"/>
      <c r="M22" s="213"/>
      <c r="N22" s="213"/>
      <c r="O22" s="213"/>
      <c r="P22" s="213"/>
      <c r="Q22" s="108" t="s">
        <v>203</v>
      </c>
    </row>
    <row r="23" spans="8:17" ht="10.5" outlineLevel="1">
      <c r="H23" s="108" t="s">
        <v>203</v>
      </c>
      <c r="I23" s="213" t="str">
        <f>TOC_Hdg_10</f>
        <v>Assets - Assumptions</v>
      </c>
      <c r="J23" s="213"/>
      <c r="K23" s="213"/>
      <c r="L23" s="213"/>
      <c r="M23" s="213"/>
      <c r="N23" s="213"/>
      <c r="O23" s="213"/>
      <c r="P23" s="213"/>
      <c r="Q23" s="108" t="s">
        <v>203</v>
      </c>
    </row>
    <row r="24" spans="8:17" ht="10.5" outlineLevel="1">
      <c r="H24" s="108" t="s">
        <v>203</v>
      </c>
      <c r="I24" s="213" t="str">
        <f>TOC_Hdg_11</f>
        <v>Capital - Assumptions</v>
      </c>
      <c r="J24" s="213"/>
      <c r="K24" s="213"/>
      <c r="L24" s="213"/>
      <c r="M24" s="213"/>
      <c r="N24" s="213"/>
      <c r="O24" s="213"/>
      <c r="P24" s="213"/>
      <c r="Q24" s="108" t="s">
        <v>203</v>
      </c>
    </row>
    <row r="25" spans="8:17" ht="10.5" outlineLevel="1">
      <c r="H25" s="108" t="s">
        <v>203</v>
      </c>
      <c r="I25" s="213" t="str">
        <f>TOC_Hdg_12</f>
        <v>Taxation - Assumptions</v>
      </c>
      <c r="J25" s="213"/>
      <c r="K25" s="213"/>
      <c r="L25" s="213"/>
      <c r="M25" s="213"/>
      <c r="N25" s="213"/>
      <c r="O25" s="213"/>
      <c r="P25" s="213"/>
      <c r="Q25" s="108" t="s">
        <v>203</v>
      </c>
    </row>
    <row r="26" spans="8:17" ht="10.5" outlineLevel="1">
      <c r="H26" s="108" t="s">
        <v>203</v>
      </c>
      <c r="I26" s="213" t="str">
        <f>TOC_Hdg_13</f>
        <v>Other Balance Sheet Items - Assumptions</v>
      </c>
      <c r="J26" s="213"/>
      <c r="K26" s="213"/>
      <c r="L26" s="213"/>
      <c r="M26" s="213"/>
      <c r="N26" s="213"/>
      <c r="O26" s="213"/>
      <c r="P26" s="213"/>
      <c r="Q26" s="108" t="s">
        <v>203</v>
      </c>
    </row>
    <row r="27" spans="2:17" ht="18.75" customHeight="1">
      <c r="B27" s="207">
        <v>3</v>
      </c>
      <c r="C27" s="207"/>
      <c r="D27" s="208" t="str">
        <f>Base_OP_SC!C9</f>
        <v>Outputs</v>
      </c>
      <c r="E27" s="208"/>
      <c r="F27" s="208"/>
      <c r="G27" s="208"/>
      <c r="H27" s="208"/>
      <c r="I27" s="208"/>
      <c r="J27" s="208"/>
      <c r="K27" s="208"/>
      <c r="L27" s="208"/>
      <c r="M27" s="208"/>
      <c r="N27" s="208"/>
      <c r="O27" s="208"/>
      <c r="P27" s="208"/>
      <c r="Q27" s="181">
        <v>20</v>
      </c>
    </row>
    <row r="28" spans="4:17" ht="11.25">
      <c r="D28" s="209" t="s">
        <v>527</v>
      </c>
      <c r="E28" s="209"/>
      <c r="F28" s="210" t="str">
        <f>Fcast_OP_SSC!C9</f>
        <v>Forecast Outputs</v>
      </c>
      <c r="G28" s="210"/>
      <c r="H28" s="210"/>
      <c r="I28" s="210"/>
      <c r="J28" s="210"/>
      <c r="K28" s="210"/>
      <c r="L28" s="210"/>
      <c r="M28" s="210"/>
      <c r="N28" s="210"/>
      <c r="O28" s="210"/>
      <c r="P28" s="210"/>
      <c r="Q28" s="182">
        <v>21</v>
      </c>
    </row>
    <row r="29" spans="6:17" ht="10.5" outlineLevel="1">
      <c r="F29" s="211" t="s">
        <v>195</v>
      </c>
      <c r="G29" s="211"/>
      <c r="H29" s="212" t="str">
        <f>Fcast_TO!B1</f>
        <v>Outputs</v>
      </c>
      <c r="I29" s="212"/>
      <c r="J29" s="212"/>
      <c r="K29" s="212"/>
      <c r="L29" s="212"/>
      <c r="M29" s="212"/>
      <c r="N29" s="212"/>
      <c r="O29" s="212"/>
      <c r="P29" s="212"/>
      <c r="Q29" s="183">
        <v>22</v>
      </c>
    </row>
    <row r="30" spans="8:17" ht="10.5" outlineLevel="1">
      <c r="H30" s="108" t="s">
        <v>203</v>
      </c>
      <c r="I30" s="213" t="str">
        <f>TOC_Hdg_21</f>
        <v>Operational - Outputs</v>
      </c>
      <c r="J30" s="213"/>
      <c r="K30" s="213"/>
      <c r="L30" s="213"/>
      <c r="M30" s="213"/>
      <c r="N30" s="213"/>
      <c r="O30" s="213"/>
      <c r="P30" s="213"/>
      <c r="Q30" s="108" t="s">
        <v>203</v>
      </c>
    </row>
    <row r="31" spans="8:17" ht="10.5" outlineLevel="1">
      <c r="H31" s="108" t="s">
        <v>203</v>
      </c>
      <c r="I31" s="213" t="str">
        <f>TOC_Hdg_24</f>
        <v>Working Capital - Outputs</v>
      </c>
      <c r="J31" s="213"/>
      <c r="K31" s="213"/>
      <c r="L31" s="213"/>
      <c r="M31" s="213"/>
      <c r="N31" s="213"/>
      <c r="O31" s="213"/>
      <c r="P31" s="213"/>
      <c r="Q31" s="108" t="s">
        <v>203</v>
      </c>
    </row>
    <row r="32" spans="8:17" ht="10.5" outlineLevel="1">
      <c r="H32" s="108" t="s">
        <v>203</v>
      </c>
      <c r="I32" s="213" t="str">
        <f>TOC_Hdg_17</f>
        <v>Assets - Outputs</v>
      </c>
      <c r="J32" s="213"/>
      <c r="K32" s="213"/>
      <c r="L32" s="213"/>
      <c r="M32" s="213"/>
      <c r="N32" s="213"/>
      <c r="O32" s="213"/>
      <c r="P32" s="213"/>
      <c r="Q32" s="108" t="s">
        <v>203</v>
      </c>
    </row>
    <row r="33" spans="8:17" ht="10.5" outlineLevel="1">
      <c r="H33" s="108" t="s">
        <v>203</v>
      </c>
      <c r="I33" s="213" t="str">
        <f>TOC_Hdg_15</f>
        <v>Capital - Outputs</v>
      </c>
      <c r="J33" s="213"/>
      <c r="K33" s="213"/>
      <c r="L33" s="213"/>
      <c r="M33" s="213"/>
      <c r="N33" s="213"/>
      <c r="O33" s="213"/>
      <c r="P33" s="213"/>
      <c r="Q33" s="108" t="s">
        <v>203</v>
      </c>
    </row>
    <row r="34" spans="8:17" ht="10.5" outlineLevel="1">
      <c r="H34" s="108" t="s">
        <v>203</v>
      </c>
      <c r="I34" s="213" t="str">
        <f>TOC_Hdg_32</f>
        <v>Taxation - Output Summary</v>
      </c>
      <c r="J34" s="213"/>
      <c r="K34" s="213"/>
      <c r="L34" s="213"/>
      <c r="M34" s="213"/>
      <c r="N34" s="213"/>
      <c r="O34" s="213"/>
      <c r="P34" s="213"/>
      <c r="Q34" s="108" t="s">
        <v>203</v>
      </c>
    </row>
    <row r="35" spans="8:17" ht="10.5" outlineLevel="1">
      <c r="H35" s="108" t="s">
        <v>203</v>
      </c>
      <c r="I35" s="213" t="str">
        <f>TOC_Hdg_16</f>
        <v>Other Balance Sheet Items - Outputs</v>
      </c>
      <c r="J35" s="213"/>
      <c r="K35" s="213"/>
      <c r="L35" s="213"/>
      <c r="M35" s="213"/>
      <c r="N35" s="213"/>
      <c r="O35" s="213"/>
      <c r="P35" s="213"/>
      <c r="Q35" s="108" t="s">
        <v>203</v>
      </c>
    </row>
    <row r="36" spans="4:17" ht="11.25">
      <c r="D36" s="209" t="s">
        <v>529</v>
      </c>
      <c r="E36" s="209"/>
      <c r="F36" s="210" t="str">
        <f>FS_OP_SSC!C9</f>
        <v>Financial Statements</v>
      </c>
      <c r="G36" s="210"/>
      <c r="H36" s="210"/>
      <c r="I36" s="210"/>
      <c r="J36" s="210"/>
      <c r="K36" s="210"/>
      <c r="L36" s="210"/>
      <c r="M36" s="210"/>
      <c r="N36" s="210"/>
      <c r="O36" s="210"/>
      <c r="P36" s="210"/>
      <c r="Q36" s="182">
        <v>30</v>
      </c>
    </row>
    <row r="37" spans="6:17" ht="10.5" outlineLevel="1">
      <c r="F37" s="211" t="s">
        <v>195</v>
      </c>
      <c r="G37" s="211"/>
      <c r="H37" s="212" t="str">
        <f>IS_TO!B1</f>
        <v>Income Statement</v>
      </c>
      <c r="I37" s="212"/>
      <c r="J37" s="212"/>
      <c r="K37" s="212"/>
      <c r="L37" s="212"/>
      <c r="M37" s="212"/>
      <c r="N37" s="212"/>
      <c r="O37" s="212"/>
      <c r="P37" s="212"/>
      <c r="Q37" s="183">
        <v>31</v>
      </c>
    </row>
    <row r="38" spans="6:17" ht="10.5" outlineLevel="1">
      <c r="F38" s="211" t="s">
        <v>196</v>
      </c>
      <c r="G38" s="211"/>
      <c r="H38" s="212" t="str">
        <f>BS_TO!B1</f>
        <v>Balance Sheet</v>
      </c>
      <c r="I38" s="212"/>
      <c r="J38" s="212"/>
      <c r="K38" s="212"/>
      <c r="L38" s="212"/>
      <c r="M38" s="212"/>
      <c r="N38" s="212"/>
      <c r="O38" s="212"/>
      <c r="P38" s="212"/>
      <c r="Q38" s="183">
        <v>32</v>
      </c>
    </row>
    <row r="39" spans="6:17" ht="10.5" outlineLevel="1">
      <c r="F39" s="211" t="s">
        <v>197</v>
      </c>
      <c r="G39" s="211"/>
      <c r="H39" s="212" t="str">
        <f>CFS_TO!B1</f>
        <v>Cash Flow Statement</v>
      </c>
      <c r="I39" s="212"/>
      <c r="J39" s="212"/>
      <c r="K39" s="212"/>
      <c r="L39" s="212"/>
      <c r="M39" s="212"/>
      <c r="N39" s="212"/>
      <c r="O39" s="212"/>
      <c r="P39" s="212"/>
      <c r="Q39" s="183">
        <v>34</v>
      </c>
    </row>
    <row r="40" spans="8:17" ht="10.5" outlineLevel="1">
      <c r="H40" s="108" t="s">
        <v>203</v>
      </c>
      <c r="I40" s="213" t="str">
        <f>TOC_Hdg_35</f>
        <v>Direct Cash Flow Statement</v>
      </c>
      <c r="J40" s="213"/>
      <c r="K40" s="213"/>
      <c r="L40" s="213"/>
      <c r="M40" s="213"/>
      <c r="N40" s="213"/>
      <c r="O40" s="213"/>
      <c r="P40" s="213"/>
      <c r="Q40" s="108" t="s">
        <v>203</v>
      </c>
    </row>
    <row r="41" spans="8:17" ht="10.5" outlineLevel="1">
      <c r="H41" s="108" t="s">
        <v>203</v>
      </c>
      <c r="I41" s="213" t="str">
        <f>TOC_Hdg_36</f>
        <v>Indirect Cash Flow Statement</v>
      </c>
      <c r="J41" s="213"/>
      <c r="K41" s="213"/>
      <c r="L41" s="213"/>
      <c r="M41" s="213"/>
      <c r="N41" s="213"/>
      <c r="O41" s="213"/>
      <c r="P41" s="213"/>
      <c r="Q41" s="108" t="s">
        <v>203</v>
      </c>
    </row>
    <row r="42" spans="8:17" ht="10.5" outlineLevel="1">
      <c r="H42" s="108" t="s">
        <v>203</v>
      </c>
      <c r="I42" s="213" t="str">
        <f>TOC_Hdg_14</f>
        <v>Capital Providers - Cash Flow Reconciliation</v>
      </c>
      <c r="J42" s="213"/>
      <c r="K42" s="213"/>
      <c r="L42" s="213"/>
      <c r="M42" s="213"/>
      <c r="N42" s="213"/>
      <c r="O42" s="213"/>
      <c r="P42" s="213"/>
      <c r="Q42" s="108" t="s">
        <v>203</v>
      </c>
    </row>
    <row r="43" spans="4:17" ht="11.25">
      <c r="D43" s="209" t="s">
        <v>531</v>
      </c>
      <c r="E43" s="209"/>
      <c r="F43" s="210" t="str">
        <f>Dashboards_SSC!C9</f>
        <v>Dashboard Outputs</v>
      </c>
      <c r="G43" s="210"/>
      <c r="H43" s="210"/>
      <c r="I43" s="210"/>
      <c r="J43" s="210"/>
      <c r="K43" s="210"/>
      <c r="L43" s="210"/>
      <c r="M43" s="210"/>
      <c r="N43" s="210"/>
      <c r="O43" s="210"/>
      <c r="P43" s="210"/>
      <c r="Q43" s="182">
        <v>37</v>
      </c>
    </row>
    <row r="44" spans="6:17" ht="10.5" outlineLevel="1">
      <c r="F44" s="211" t="s">
        <v>195</v>
      </c>
      <c r="G44" s="211"/>
      <c r="H44" s="212" t="str">
        <f>BS_Sum_P_MS!B1</f>
        <v>Business Planning Summary</v>
      </c>
      <c r="I44" s="212"/>
      <c r="J44" s="212"/>
      <c r="K44" s="212"/>
      <c r="L44" s="212"/>
      <c r="M44" s="212"/>
      <c r="N44" s="212"/>
      <c r="O44" s="212"/>
      <c r="P44" s="212"/>
      <c r="Q44" s="183">
        <v>38</v>
      </c>
    </row>
    <row r="45" spans="2:17" ht="18.75" customHeight="1">
      <c r="B45" s="207">
        <v>4</v>
      </c>
      <c r="C45" s="207"/>
      <c r="D45" s="208" t="str">
        <f>Appendices_SC!C9</f>
        <v>Appendices</v>
      </c>
      <c r="E45" s="208"/>
      <c r="F45" s="208"/>
      <c r="G45" s="208"/>
      <c r="H45" s="208"/>
      <c r="I45" s="208"/>
      <c r="J45" s="208"/>
      <c r="K45" s="208"/>
      <c r="L45" s="208"/>
      <c r="M45" s="208"/>
      <c r="N45" s="208"/>
      <c r="O45" s="208"/>
      <c r="P45" s="208"/>
      <c r="Q45" s="181">
        <v>39</v>
      </c>
    </row>
    <row r="46" spans="4:17" ht="11.25">
      <c r="D46" s="209" t="s">
        <v>533</v>
      </c>
      <c r="E46" s="209"/>
      <c r="F46" s="210" t="str">
        <f>Checks_SSC!C9</f>
        <v>Checks</v>
      </c>
      <c r="G46" s="210"/>
      <c r="H46" s="210"/>
      <c r="I46" s="210"/>
      <c r="J46" s="210"/>
      <c r="K46" s="210"/>
      <c r="L46" s="210"/>
      <c r="M46" s="210"/>
      <c r="N46" s="210"/>
      <c r="O46" s="210"/>
      <c r="P46" s="210"/>
      <c r="Q46" s="182">
        <v>40</v>
      </c>
    </row>
    <row r="47" spans="6:17" ht="10.5" outlineLevel="1">
      <c r="F47" s="211" t="s">
        <v>195</v>
      </c>
      <c r="G47" s="211"/>
      <c r="H47" s="212" t="str">
        <f>Checks_BO!B1</f>
        <v>Checks</v>
      </c>
      <c r="I47" s="212"/>
      <c r="J47" s="212"/>
      <c r="K47" s="212"/>
      <c r="L47" s="212"/>
      <c r="M47" s="212"/>
      <c r="N47" s="212"/>
      <c r="O47" s="212"/>
      <c r="P47" s="212"/>
      <c r="Q47" s="183">
        <v>41</v>
      </c>
    </row>
    <row r="48" spans="8:17" ht="10.5" outlineLevel="1">
      <c r="H48" s="108" t="s">
        <v>203</v>
      </c>
      <c r="I48" s="213" t="str">
        <f>TOC_Hdg_6</f>
        <v>Error Checks</v>
      </c>
      <c r="J48" s="213"/>
      <c r="K48" s="213"/>
      <c r="L48" s="213"/>
      <c r="M48" s="213"/>
      <c r="N48" s="213"/>
      <c r="O48" s="213"/>
      <c r="P48" s="213"/>
      <c r="Q48" s="108" t="s">
        <v>203</v>
      </c>
    </row>
    <row r="49" spans="8:17" ht="10.5" outlineLevel="1">
      <c r="H49" s="108" t="s">
        <v>203</v>
      </c>
      <c r="I49" s="213" t="str">
        <f>TOC_Hdg_7</f>
        <v>Sensitivity Checks</v>
      </c>
      <c r="J49" s="213"/>
      <c r="K49" s="213"/>
      <c r="L49" s="213"/>
      <c r="M49" s="213"/>
      <c r="N49" s="213"/>
      <c r="O49" s="213"/>
      <c r="P49" s="213"/>
      <c r="Q49" s="108" t="s">
        <v>203</v>
      </c>
    </row>
    <row r="50" spans="8:17" ht="10.5" outlineLevel="1">
      <c r="H50" s="108" t="s">
        <v>203</v>
      </c>
      <c r="I50" s="213" t="str">
        <f>TOC_Hdg_8</f>
        <v>Alert Checks</v>
      </c>
      <c r="J50" s="213"/>
      <c r="K50" s="213"/>
      <c r="L50" s="213"/>
      <c r="M50" s="213"/>
      <c r="N50" s="213"/>
      <c r="O50" s="213"/>
      <c r="P50" s="213"/>
      <c r="Q50" s="108" t="s">
        <v>203</v>
      </c>
    </row>
    <row r="51" spans="4:17" ht="11.25">
      <c r="D51" s="209" t="s">
        <v>535</v>
      </c>
      <c r="E51" s="209"/>
      <c r="F51" s="210" t="str">
        <f>LU_SSC!C9</f>
        <v>Lookup Tables</v>
      </c>
      <c r="G51" s="210"/>
      <c r="H51" s="210"/>
      <c r="I51" s="210"/>
      <c r="J51" s="210"/>
      <c r="K51" s="210"/>
      <c r="L51" s="210"/>
      <c r="M51" s="210"/>
      <c r="N51" s="210"/>
      <c r="O51" s="210"/>
      <c r="P51" s="210"/>
      <c r="Q51" s="182">
        <v>44</v>
      </c>
    </row>
    <row r="52" spans="6:17" ht="10.5" outlineLevel="1">
      <c r="F52" s="211" t="s">
        <v>195</v>
      </c>
      <c r="G52" s="211"/>
      <c r="H52" s="212" t="str">
        <f>TS_LU!B1</f>
        <v>Time Series Lookup Tables</v>
      </c>
      <c r="I52" s="212"/>
      <c r="J52" s="212"/>
      <c r="K52" s="212"/>
      <c r="L52" s="212"/>
      <c r="M52" s="212"/>
      <c r="N52" s="212"/>
      <c r="O52" s="212"/>
      <c r="P52" s="212"/>
      <c r="Q52" s="183">
        <v>45</v>
      </c>
    </row>
    <row r="53" spans="6:17" ht="10.5" outlineLevel="1">
      <c r="F53" s="211" t="s">
        <v>196</v>
      </c>
      <c r="G53" s="211"/>
      <c r="H53" s="212" t="str">
        <f>Capital_LU!B1</f>
        <v>Capital - Lookup Tables</v>
      </c>
      <c r="I53" s="212"/>
      <c r="J53" s="212"/>
      <c r="K53" s="212"/>
      <c r="L53" s="212"/>
      <c r="M53" s="212"/>
      <c r="N53" s="212"/>
      <c r="O53" s="212"/>
      <c r="P53" s="212"/>
      <c r="Q53" s="183">
        <v>48</v>
      </c>
    </row>
    <row r="54" spans="6:17" ht="10.5" outlineLevel="1">
      <c r="F54" s="211" t="s">
        <v>197</v>
      </c>
      <c r="G54" s="211"/>
      <c r="H54" s="212" t="str">
        <f>Dashboards_LU!B1</f>
        <v>Dashboards - Lookup Tables</v>
      </c>
      <c r="I54" s="212"/>
      <c r="J54" s="212"/>
      <c r="K54" s="212"/>
      <c r="L54" s="212"/>
      <c r="M54" s="212"/>
      <c r="N54" s="212"/>
      <c r="O54" s="212"/>
      <c r="P54" s="212"/>
      <c r="Q54" s="183">
        <v>49</v>
      </c>
    </row>
    <row r="56" spans="2:17" ht="16.5" customHeight="1">
      <c r="B56" s="31" t="s">
        <v>513</v>
      </c>
      <c r="Q56" s="184">
        <v>49</v>
      </c>
    </row>
  </sheetData>
  <sheetProtection/>
  <mergeCells count="74">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 ref="H47:P47"/>
    <mergeCell ref="D36:E36"/>
    <mergeCell ref="F36:P36"/>
    <mergeCell ref="I31:P31"/>
    <mergeCell ref="I32:P32"/>
    <mergeCell ref="F28:P28"/>
    <mergeCell ref="F29:G29"/>
    <mergeCell ref="H29:P29"/>
    <mergeCell ref="I33:P33"/>
    <mergeCell ref="F43:P43"/>
    <mergeCell ref="F44:G44"/>
    <mergeCell ref="H44:P44"/>
    <mergeCell ref="I30:P30"/>
    <mergeCell ref="I35:P35"/>
    <mergeCell ref="I34:P34"/>
    <mergeCell ref="H37:P37"/>
    <mergeCell ref="F38:G38"/>
    <mergeCell ref="H38:P38"/>
    <mergeCell ref="I42:P42"/>
    <mergeCell ref="F39:G39"/>
    <mergeCell ref="H39:P39"/>
    <mergeCell ref="I15:P15"/>
    <mergeCell ref="B16:C16"/>
    <mergeCell ref="D16:P16"/>
    <mergeCell ref="B27:C27"/>
    <mergeCell ref="D27:P27"/>
    <mergeCell ref="D28:E28"/>
    <mergeCell ref="H18:P18"/>
    <mergeCell ref="F37:G37"/>
    <mergeCell ref="I40:P40"/>
    <mergeCell ref="I41:P41"/>
    <mergeCell ref="D17:E17"/>
    <mergeCell ref="F17:P17"/>
    <mergeCell ref="D19:E19"/>
    <mergeCell ref="F19:P19"/>
    <mergeCell ref="F20:G20"/>
    <mergeCell ref="H20:P20"/>
    <mergeCell ref="I25:P25"/>
    <mergeCell ref="I26:P26"/>
    <mergeCell ref="D11:E11"/>
    <mergeCell ref="I13:P13"/>
    <mergeCell ref="I14:P14"/>
    <mergeCell ref="F10:G10"/>
    <mergeCell ref="H10:P10"/>
    <mergeCell ref="D43:E43"/>
    <mergeCell ref="B3:I3"/>
    <mergeCell ref="F11:P11"/>
    <mergeCell ref="F12:G12"/>
    <mergeCell ref="H12:P12"/>
    <mergeCell ref="I24:P24"/>
    <mergeCell ref="I22:P22"/>
    <mergeCell ref="I23:P23"/>
    <mergeCell ref="I21:P21"/>
    <mergeCell ref="F18:G18"/>
    <mergeCell ref="B8:C8"/>
    <mergeCell ref="D8:P8"/>
    <mergeCell ref="D9:E9"/>
    <mergeCell ref="F9:P9"/>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5" t="s">
        <v>530</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542</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435</v>
      </c>
    </row>
    <row r="2" ht="15">
      <c r="B2" s="27" t="str">
        <f>Model_Name</f>
        <v>SMA 11. Checks - Best Practice Model Example (2 Errors Detected)</v>
      </c>
    </row>
    <row r="3" spans="2:12" ht="10.5">
      <c r="B3" s="251" t="s">
        <v>49</v>
      </c>
      <c r="C3" s="251"/>
      <c r="D3" s="251"/>
      <c r="E3" s="251"/>
      <c r="F3" s="251"/>
      <c r="G3" s="251"/>
      <c r="H3" s="251"/>
      <c r="I3" s="251"/>
      <c r="J3" s="251"/>
      <c r="K3" s="251"/>
      <c r="L3" s="112"/>
    </row>
    <row r="4" spans="1:11" ht="12.75">
      <c r="A4" s="29" t="s">
        <v>52</v>
      </c>
      <c r="B4" s="261" t="s">
        <v>54</v>
      </c>
      <c r="C4" s="261"/>
      <c r="D4" s="262" t="s">
        <v>103</v>
      </c>
      <c r="E4" s="262"/>
      <c r="F4" s="263" t="s">
        <v>206</v>
      </c>
      <c r="G4" s="263"/>
      <c r="H4" s="263" t="s">
        <v>207</v>
      </c>
      <c r="I4" s="263"/>
      <c r="J4" s="263" t="s">
        <v>208</v>
      </c>
      <c r="K4" s="263"/>
    </row>
    <row r="5" ht="10.5"/>
    <row r="7" spans="2:57" ht="11.25">
      <c r="B7" s="258" t="s">
        <v>48</v>
      </c>
      <c r="C7" s="259"/>
      <c r="D7" s="259"/>
      <c r="E7" s="259"/>
      <c r="F7" s="259"/>
      <c r="G7" s="259"/>
      <c r="H7" s="259"/>
      <c r="I7" s="259"/>
      <c r="J7" s="259"/>
      <c r="K7" s="259"/>
      <c r="L7" s="259"/>
      <c r="M7" s="259"/>
      <c r="N7" s="259"/>
      <c r="O7" s="259"/>
      <c r="P7" s="259"/>
      <c r="Q7" s="259"/>
      <c r="R7" s="259"/>
      <c r="S7" s="260"/>
      <c r="V7" s="254" t="s">
        <v>432</v>
      </c>
      <c r="W7" s="254"/>
      <c r="X7" s="254"/>
      <c r="Y7" s="254"/>
      <c r="Z7" s="254"/>
      <c r="AA7" s="254"/>
      <c r="AB7" s="254"/>
      <c r="AC7" s="254"/>
      <c r="AD7" s="254"/>
      <c r="AE7" s="254"/>
      <c r="AF7" s="254"/>
      <c r="AG7" s="254"/>
      <c r="AH7" s="254"/>
      <c r="AI7" s="254"/>
      <c r="AJ7" s="254"/>
      <c r="AK7" s="254"/>
      <c r="AL7" s="254"/>
      <c r="AM7" s="254"/>
      <c r="AP7" s="158" t="str">
        <f>IF(TS_Periodicity=Annual,IS_TO!$B$7,IS_TO!$B$6)</f>
        <v>Year Ending 31 December</v>
      </c>
      <c r="AQ7" s="157"/>
      <c r="AR7" s="16"/>
      <c r="AS7" s="16"/>
      <c r="AT7" s="16"/>
      <c r="AU7" s="16"/>
      <c r="AV7" s="16"/>
      <c r="AW7" s="16"/>
      <c r="AX7" s="160" t="str">
        <f>IF(TS_Periodicity=Annual,IS_TO!J$7,IS_TO!J$6)</f>
        <v>2010 (F) </v>
      </c>
      <c r="AY7" s="160" t="str">
        <f>IF(TS_Periodicity=Annual,IS_TO!K$7,IS_TO!K$6)</f>
        <v>2011 (F) </v>
      </c>
      <c r="AZ7" s="160" t="str">
        <f>IF(TS_Periodicity=Annual,IS_TO!L$7,IS_TO!L$6)</f>
        <v>2012 (F) </v>
      </c>
      <c r="BA7" s="160" t="str">
        <f>IF(TS_Periodicity=Annual,IS_TO!M$7,IS_TO!M$6)</f>
        <v>2013 (F) </v>
      </c>
      <c r="BB7" s="160" t="str">
        <f>IF(TS_Periodicity=Annual,IS_TO!N$7,IS_TO!N$6)</f>
        <v>2014 (F) </v>
      </c>
      <c r="BC7" s="160" t="str">
        <f>IF(TS_Periodicity=Annual,IS_TO!O$7,IS_TO!O$6)</f>
        <v>2015 (F) </v>
      </c>
      <c r="BD7" s="160" t="str">
        <f>IF(TS_Periodicity=Annual,IS_TO!P$7,IS_TO!P$6)</f>
        <v>2016 (F) </v>
      </c>
      <c r="BE7" s="160" t="str">
        <f>IF(TS_Periodicity=Annual,IS_TO!Q$7,IS_TO!Q$6)</f>
        <v>2017 (F) </v>
      </c>
    </row>
    <row r="8" spans="2:39" ht="10.5">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2:42" ht="10.5">
      <c r="B9" s="149" t="str">
        <f>IF(TS_Periodicity=Annual,IS_TO!$B$7,IS_TO!$B$6)</f>
        <v>Year Ending 31 December</v>
      </c>
      <c r="C9" s="148"/>
      <c r="D9" s="148"/>
      <c r="E9" s="148"/>
      <c r="F9" s="148"/>
      <c r="G9" s="148"/>
      <c r="H9" s="148"/>
      <c r="I9" s="148"/>
      <c r="J9" s="148"/>
      <c r="K9" s="148"/>
      <c r="L9" s="148"/>
      <c r="M9" s="148"/>
      <c r="N9" s="150" t="str">
        <f>IF(TS_Periodicity=Annual,IS_TO!J$7,IS_TO!J$6)</f>
        <v>2010 (F) </v>
      </c>
      <c r="O9" s="150" t="str">
        <f>IF(TS_Periodicity=Annual,IS_TO!K$7,IS_TO!K$6)</f>
        <v>2011 (F) </v>
      </c>
      <c r="P9" s="150" t="str">
        <f>IF(TS_Periodicity=Annual,IS_TO!L$7,IS_TO!L$6)</f>
        <v>2012 (F) </v>
      </c>
      <c r="Q9" s="150" t="str">
        <f>IF(TS_Periodicity=Annual,IS_TO!M$7,IS_TO!M$6)</f>
        <v>2013 (F) </v>
      </c>
      <c r="R9" s="150" t="str">
        <f>IF(TS_Periodicity=Annual,IS_TO!N$7,IS_TO!N$6)</f>
        <v>2014 (F) </v>
      </c>
      <c r="S9" s="150" t="str">
        <f>IF(TS_Periodicity=Annual,IS_TO!O$7,IS_TO!O$6)</f>
        <v>2015 (F) </v>
      </c>
      <c r="V9" s="166"/>
      <c r="W9" s="166"/>
      <c r="X9" s="166"/>
      <c r="Y9" s="166"/>
      <c r="Z9" s="166"/>
      <c r="AA9" s="166"/>
      <c r="AB9" s="166"/>
      <c r="AC9" s="166"/>
      <c r="AD9" s="166"/>
      <c r="AE9" s="166"/>
      <c r="AF9" s="166"/>
      <c r="AG9" s="166"/>
      <c r="AH9" s="166"/>
      <c r="AI9" s="166"/>
      <c r="AJ9" s="166"/>
      <c r="AK9" s="166"/>
      <c r="AL9" s="166"/>
      <c r="AM9" s="166"/>
      <c r="AP9" s="110" t="s">
        <v>445</v>
      </c>
    </row>
    <row r="10" spans="2:39" ht="10.5">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2:47" ht="10.5">
      <c r="B11" s="151" t="str">
        <f>IS_TO!D18</f>
        <v>Revenue</v>
      </c>
      <c r="C11" s="148"/>
      <c r="D11" s="148"/>
      <c r="E11" s="148"/>
      <c r="F11" s="148"/>
      <c r="G11" s="148"/>
      <c r="H11" s="148"/>
      <c r="I11" s="148"/>
      <c r="J11" s="148"/>
      <c r="K11" s="148"/>
      <c r="L11" s="148"/>
      <c r="M11" s="148"/>
      <c r="N11" s="152">
        <f>IS_TO!J18</f>
        <v>125</v>
      </c>
      <c r="O11" s="152">
        <f>IS_TO!K18</f>
        <v>128.125</v>
      </c>
      <c r="P11" s="152">
        <f>IS_TO!L18</f>
        <v>131.328125</v>
      </c>
      <c r="Q11" s="152">
        <f>IS_TO!M18</f>
        <v>134.611328125</v>
      </c>
      <c r="R11" s="152">
        <f>IS_TO!N18</f>
        <v>137.976611328125</v>
      </c>
      <c r="S11" s="152">
        <f>IS_TO!O18</f>
        <v>141.4260266113281</v>
      </c>
      <c r="V11" s="166"/>
      <c r="W11" s="166"/>
      <c r="X11" s="166"/>
      <c r="Y11" s="166"/>
      <c r="Z11" s="166"/>
      <c r="AA11" s="166"/>
      <c r="AB11" s="166"/>
      <c r="AC11" s="166"/>
      <c r="AD11" s="166"/>
      <c r="AE11" s="166"/>
      <c r="AF11" s="166"/>
      <c r="AG11" s="166"/>
      <c r="AH11" s="166"/>
      <c r="AI11" s="166"/>
      <c r="AJ11" s="166"/>
      <c r="AK11" s="166"/>
      <c r="AL11" s="166"/>
      <c r="AM11" s="166"/>
      <c r="AQ11" s="110" t="s">
        <v>350</v>
      </c>
      <c r="AU11" s="5" t="str">
        <f>Fcast_TO!C18</f>
        <v>Revenue</v>
      </c>
    </row>
    <row r="12" spans="2:39" ht="10.5">
      <c r="B12" s="175" t="str">
        <f>IS_TO!D19</f>
        <v>Cost of Goods Sold</v>
      </c>
      <c r="N12" s="152">
        <f>IS_TO!J19</f>
        <v>-25</v>
      </c>
      <c r="O12" s="152">
        <f>IS_TO!K19</f>
        <v>-25.624999999999996</v>
      </c>
      <c r="P12" s="152">
        <f>IS_TO!L19</f>
        <v>-26.265624999999993</v>
      </c>
      <c r="Q12" s="152">
        <f>IS_TO!M19</f>
        <v>-26.92226562499999</v>
      </c>
      <c r="R12" s="152">
        <f>IS_TO!N19</f>
        <v>-27.59532226562499</v>
      </c>
      <c r="S12" s="152">
        <f>IS_TO!O19</f>
        <v>-28.28520532226561</v>
      </c>
      <c r="V12" s="166"/>
      <c r="W12" s="166"/>
      <c r="X12" s="166"/>
      <c r="Y12" s="166"/>
      <c r="Z12" s="166"/>
      <c r="AA12" s="166"/>
      <c r="AB12" s="166"/>
      <c r="AC12" s="166"/>
      <c r="AD12" s="166"/>
      <c r="AE12" s="166"/>
      <c r="AF12" s="166"/>
      <c r="AG12" s="166"/>
      <c r="AH12" s="166"/>
      <c r="AI12" s="166"/>
      <c r="AJ12" s="166"/>
      <c r="AK12" s="166"/>
      <c r="AL12" s="166"/>
      <c r="AM12" s="166"/>
    </row>
    <row r="13" spans="2:57" ht="10.5">
      <c r="B13" s="177" t="str">
        <f>IS_TO!C21</f>
        <v>Gross Margin</v>
      </c>
      <c r="N13" s="153">
        <f aca="true" t="shared" si="0" ref="N13:S13">SUM(N11:N12)</f>
        <v>100</v>
      </c>
      <c r="O13" s="153">
        <f t="shared" si="0"/>
        <v>102.5</v>
      </c>
      <c r="P13" s="153">
        <f t="shared" si="0"/>
        <v>105.0625</v>
      </c>
      <c r="Q13" s="153">
        <f t="shared" si="0"/>
        <v>107.6890625</v>
      </c>
      <c r="R13" s="153">
        <f t="shared" si="0"/>
        <v>110.3812890625</v>
      </c>
      <c r="S13" s="153">
        <f t="shared" si="0"/>
        <v>113.14082128906249</v>
      </c>
      <c r="V13" s="166"/>
      <c r="W13" s="166"/>
      <c r="X13" s="166"/>
      <c r="Y13" s="166"/>
      <c r="Z13" s="166"/>
      <c r="AA13" s="166"/>
      <c r="AB13" s="166"/>
      <c r="AC13" s="166"/>
      <c r="AD13" s="166"/>
      <c r="AE13" s="166"/>
      <c r="AF13" s="166"/>
      <c r="AG13" s="166"/>
      <c r="AH13" s="166"/>
      <c r="AI13" s="166"/>
      <c r="AJ13" s="166"/>
      <c r="AK13" s="166"/>
      <c r="AL13" s="166"/>
      <c r="AM13" s="166"/>
      <c r="AQ13" s="5" t="str">
        <f>Fcast_TO!C18</f>
        <v>Revenue</v>
      </c>
      <c r="AX13" s="98">
        <f>Fcast_TO!J18</f>
        <v>125</v>
      </c>
      <c r="AY13" s="98">
        <f>Fcast_TO!K18</f>
        <v>128.125</v>
      </c>
      <c r="AZ13" s="98">
        <f>Fcast_TO!L18</f>
        <v>131.328125</v>
      </c>
      <c r="BA13" s="98">
        <f>Fcast_TO!M18</f>
        <v>134.611328125</v>
      </c>
      <c r="BB13" s="98">
        <f>Fcast_TO!N18</f>
        <v>137.976611328125</v>
      </c>
      <c r="BC13" s="98">
        <f>Fcast_TO!O18</f>
        <v>141.4260266113281</v>
      </c>
      <c r="BD13" s="98">
        <f>Fcast_TO!P18</f>
        <v>144.96167727661128</v>
      </c>
      <c r="BE13" s="98">
        <f>Fcast_TO!Q18</f>
        <v>148.58571920852654</v>
      </c>
    </row>
    <row r="14" spans="2:39" ht="10.5">
      <c r="B14" s="151" t="str">
        <f>IS_TO!D23</f>
        <v>Operating Expenditure</v>
      </c>
      <c r="C14" s="148"/>
      <c r="D14" s="148"/>
      <c r="E14" s="148"/>
      <c r="F14" s="148"/>
      <c r="G14" s="148"/>
      <c r="H14" s="148"/>
      <c r="I14" s="148"/>
      <c r="J14" s="148"/>
      <c r="K14" s="148"/>
      <c r="L14" s="148"/>
      <c r="M14" s="148"/>
      <c r="N14" s="152">
        <f>IS_TO!J23</f>
        <v>-40</v>
      </c>
      <c r="O14" s="152">
        <f>IS_TO!K23</f>
        <v>-41</v>
      </c>
      <c r="P14" s="152">
        <f>IS_TO!L23</f>
        <v>-42.025</v>
      </c>
      <c r="Q14" s="152">
        <f>IS_TO!M23</f>
        <v>-43.075624999999995</v>
      </c>
      <c r="R14" s="152">
        <f>IS_TO!N23</f>
        <v>-44.15251562499999</v>
      </c>
      <c r="S14" s="152">
        <f>IS_TO!O23</f>
        <v>-45.256328515624986</v>
      </c>
      <c r="V14" s="166"/>
      <c r="W14" s="166"/>
      <c r="X14" s="166"/>
      <c r="Y14" s="166"/>
      <c r="Z14" s="166"/>
      <c r="AA14" s="166"/>
      <c r="AB14" s="166"/>
      <c r="AC14" s="166"/>
      <c r="AD14" s="166"/>
      <c r="AE14" s="166"/>
      <c r="AF14" s="166"/>
      <c r="AG14" s="166"/>
      <c r="AH14" s="166"/>
      <c r="AI14" s="166"/>
      <c r="AJ14" s="166"/>
      <c r="AK14" s="166"/>
      <c r="AL14" s="166"/>
      <c r="AM14" s="166"/>
    </row>
    <row r="15" spans="2:42" ht="10.5">
      <c r="B15" s="176" t="str">
        <f>IS_TO!C25</f>
        <v>EBITDA</v>
      </c>
      <c r="C15" s="148"/>
      <c r="D15" s="148"/>
      <c r="E15" s="148"/>
      <c r="F15" s="148"/>
      <c r="G15" s="148"/>
      <c r="H15" s="148"/>
      <c r="I15" s="148"/>
      <c r="J15" s="148"/>
      <c r="K15" s="148"/>
      <c r="L15" s="148"/>
      <c r="M15" s="148"/>
      <c r="N15" s="153">
        <f aca="true" t="shared" si="1" ref="N15:S15">SUM(N13:N14)</f>
        <v>60</v>
      </c>
      <c r="O15" s="153">
        <f t="shared" si="1"/>
        <v>61.5</v>
      </c>
      <c r="P15" s="153">
        <f t="shared" si="1"/>
        <v>63.0375</v>
      </c>
      <c r="Q15" s="153">
        <f t="shared" si="1"/>
        <v>64.6134375</v>
      </c>
      <c r="R15" s="153">
        <f t="shared" si="1"/>
        <v>66.22877343750001</v>
      </c>
      <c r="S15" s="153">
        <f t="shared" si="1"/>
        <v>67.8844927734375</v>
      </c>
      <c r="V15" s="166"/>
      <c r="W15" s="166"/>
      <c r="X15" s="166"/>
      <c r="Y15" s="166"/>
      <c r="Z15" s="166"/>
      <c r="AA15" s="166"/>
      <c r="AB15" s="166"/>
      <c r="AC15" s="166"/>
      <c r="AD15" s="166"/>
      <c r="AE15" s="166"/>
      <c r="AF15" s="166"/>
      <c r="AG15" s="166"/>
      <c r="AH15" s="166"/>
      <c r="AI15" s="166"/>
      <c r="AJ15" s="166"/>
      <c r="AK15" s="166"/>
      <c r="AL15" s="166"/>
      <c r="AM15" s="166"/>
      <c r="AP15" s="110" t="s">
        <v>446</v>
      </c>
    </row>
    <row r="16" spans="2:39" ht="10.5">
      <c r="B16" s="151" t="str">
        <f>IS_TO!D29</f>
        <v>Depreciation &amp; Amortization</v>
      </c>
      <c r="C16" s="148"/>
      <c r="D16" s="148"/>
      <c r="E16" s="148"/>
      <c r="F16" s="148"/>
      <c r="G16" s="148"/>
      <c r="H16" s="148"/>
      <c r="I16" s="148"/>
      <c r="J16" s="148"/>
      <c r="K16" s="148"/>
      <c r="L16" s="148"/>
      <c r="M16" s="148"/>
      <c r="N16" s="152">
        <f>IS_TO!J29</f>
        <v>-14.125</v>
      </c>
      <c r="O16" s="152">
        <f>IS_TO!K29</f>
        <v>-14.478124999999999</v>
      </c>
      <c r="P16" s="152">
        <f>IS_TO!L29</f>
        <v>-14.840078124999996</v>
      </c>
      <c r="Q16" s="152">
        <f>IS_TO!M29</f>
        <v>-15.211080078124994</v>
      </c>
      <c r="R16" s="152">
        <f>IS_TO!N29</f>
        <v>-15.591357080078117</v>
      </c>
      <c r="S16" s="152">
        <f>IS_TO!O29</f>
        <v>-15.981141007080069</v>
      </c>
      <c r="V16" s="166"/>
      <c r="W16" s="166"/>
      <c r="X16" s="166"/>
      <c r="Y16" s="166"/>
      <c r="Z16" s="166"/>
      <c r="AA16" s="166"/>
      <c r="AB16" s="166"/>
      <c r="AC16" s="166"/>
      <c r="AD16" s="166"/>
      <c r="AE16" s="166"/>
      <c r="AF16" s="166"/>
      <c r="AG16" s="166"/>
      <c r="AH16" s="166"/>
      <c r="AI16" s="166"/>
      <c r="AJ16" s="166"/>
      <c r="AK16" s="166"/>
      <c r="AL16" s="166"/>
      <c r="AM16" s="166"/>
    </row>
    <row r="17" spans="2:47" ht="10.5">
      <c r="B17" s="176" t="str">
        <f>IS_TO!C31</f>
        <v>EBIT</v>
      </c>
      <c r="C17" s="148"/>
      <c r="D17" s="148"/>
      <c r="E17" s="148"/>
      <c r="F17" s="148"/>
      <c r="G17" s="148"/>
      <c r="H17" s="148"/>
      <c r="I17" s="148"/>
      <c r="J17" s="148"/>
      <c r="K17" s="148"/>
      <c r="L17" s="148"/>
      <c r="M17" s="148"/>
      <c r="N17" s="153">
        <f aca="true" t="shared" si="2" ref="N17:S17">SUM(N15:N16)</f>
        <v>45.875</v>
      </c>
      <c r="O17" s="153">
        <f t="shared" si="2"/>
        <v>47.021875</v>
      </c>
      <c r="P17" s="153">
        <f t="shared" si="2"/>
        <v>48.197421875</v>
      </c>
      <c r="Q17" s="153">
        <f t="shared" si="2"/>
        <v>49.40235742187501</v>
      </c>
      <c r="R17" s="153">
        <f t="shared" si="2"/>
        <v>50.63741635742189</v>
      </c>
      <c r="S17" s="153">
        <f t="shared" si="2"/>
        <v>51.90335176635743</v>
      </c>
      <c r="V17" s="166"/>
      <c r="W17" s="166"/>
      <c r="X17" s="166"/>
      <c r="Y17" s="166"/>
      <c r="Z17" s="166"/>
      <c r="AA17" s="166"/>
      <c r="AB17" s="166"/>
      <c r="AC17" s="166"/>
      <c r="AD17" s="166"/>
      <c r="AE17" s="166"/>
      <c r="AF17" s="166"/>
      <c r="AG17" s="166"/>
      <c r="AH17" s="166"/>
      <c r="AI17" s="166"/>
      <c r="AJ17" s="166"/>
      <c r="AK17" s="166"/>
      <c r="AL17" s="166"/>
      <c r="AM17" s="166"/>
      <c r="AQ17" s="110" t="s">
        <v>350</v>
      </c>
      <c r="AU17" s="5" t="str">
        <f>Fcast_TO!C19</f>
        <v>Cost of Goods Sold</v>
      </c>
    </row>
    <row r="18" spans="2:39" ht="10.5">
      <c r="B18" s="151" t="str">
        <f>IS_TO!D33</f>
        <v>Interest Expense</v>
      </c>
      <c r="C18" s="148"/>
      <c r="D18" s="148"/>
      <c r="E18" s="148"/>
      <c r="F18" s="148"/>
      <c r="G18" s="148"/>
      <c r="H18" s="148"/>
      <c r="I18" s="148"/>
      <c r="J18" s="148"/>
      <c r="K18" s="148"/>
      <c r="L18" s="148"/>
      <c r="M18" s="148"/>
      <c r="N18" s="152">
        <f>IS_TO!J33</f>
        <v>-3.25</v>
      </c>
      <c r="O18" s="152">
        <f>IS_TO!K33</f>
        <v>-3.25</v>
      </c>
      <c r="P18" s="152">
        <f>IS_TO!L33</f>
        <v>-3.25</v>
      </c>
      <c r="Q18" s="152">
        <f>IS_TO!M33</f>
        <v>-3.25</v>
      </c>
      <c r="R18" s="152">
        <f>IS_TO!N33</f>
        <v>-3.4125</v>
      </c>
      <c r="S18" s="152">
        <f>IS_TO!O33</f>
        <v>-3.575</v>
      </c>
      <c r="V18" s="166"/>
      <c r="W18" s="166"/>
      <c r="X18" s="166"/>
      <c r="Y18" s="166"/>
      <c r="Z18" s="166"/>
      <c r="AA18" s="166"/>
      <c r="AB18" s="166"/>
      <c r="AC18" s="166"/>
      <c r="AD18" s="166"/>
      <c r="AE18" s="166"/>
      <c r="AF18" s="166"/>
      <c r="AG18" s="166"/>
      <c r="AH18" s="166"/>
      <c r="AI18" s="166"/>
      <c r="AJ18" s="166"/>
      <c r="AK18" s="166"/>
      <c r="AL18" s="166"/>
      <c r="AM18" s="166"/>
    </row>
    <row r="19" spans="2:57" ht="10.5">
      <c r="B19" s="176" t="str">
        <f>IS_TO!C35</f>
        <v>Net Profit Before Tax</v>
      </c>
      <c r="C19" s="148"/>
      <c r="D19" s="148"/>
      <c r="E19" s="148"/>
      <c r="F19" s="148"/>
      <c r="G19" s="148"/>
      <c r="H19" s="148"/>
      <c r="I19" s="148"/>
      <c r="J19" s="148"/>
      <c r="K19" s="148"/>
      <c r="L19" s="148"/>
      <c r="M19" s="148"/>
      <c r="N19" s="153">
        <f aca="true" t="shared" si="3" ref="N19:S19">SUM(N17:N18)</f>
        <v>42.625</v>
      </c>
      <c r="O19" s="153">
        <f t="shared" si="3"/>
        <v>43.771875</v>
      </c>
      <c r="P19" s="153">
        <f t="shared" si="3"/>
        <v>44.947421875</v>
      </c>
      <c r="Q19" s="153">
        <f t="shared" si="3"/>
        <v>46.15235742187501</v>
      </c>
      <c r="R19" s="153">
        <f t="shared" si="3"/>
        <v>47.22491635742189</v>
      </c>
      <c r="S19" s="153">
        <f t="shared" si="3"/>
        <v>48.32835176635743</v>
      </c>
      <c r="V19" s="166"/>
      <c r="W19" s="166"/>
      <c r="X19" s="166"/>
      <c r="Y19" s="166"/>
      <c r="Z19" s="166"/>
      <c r="AA19" s="166"/>
      <c r="AB19" s="166"/>
      <c r="AC19" s="166"/>
      <c r="AD19" s="166"/>
      <c r="AE19" s="166"/>
      <c r="AF19" s="166"/>
      <c r="AG19" s="166"/>
      <c r="AH19" s="166"/>
      <c r="AI19" s="166"/>
      <c r="AJ19" s="166"/>
      <c r="AK19" s="166"/>
      <c r="AL19" s="166"/>
      <c r="AM19" s="166"/>
      <c r="AQ19" s="5" t="str">
        <f>Fcast_TO!C19</f>
        <v>Cost of Goods Sold</v>
      </c>
      <c r="AX19" s="98">
        <f>Fcast_TO!J19</f>
        <v>25</v>
      </c>
      <c r="AY19" s="98">
        <f>Fcast_TO!K19</f>
        <v>25.624999999999996</v>
      </c>
      <c r="AZ19" s="98">
        <f>Fcast_TO!L19</f>
        <v>26.265624999999993</v>
      </c>
      <c r="BA19" s="98">
        <f>Fcast_TO!M19</f>
        <v>26.92226562499999</v>
      </c>
      <c r="BB19" s="98">
        <f>Fcast_TO!N19</f>
        <v>27.59532226562499</v>
      </c>
      <c r="BC19" s="98">
        <f>Fcast_TO!O19</f>
        <v>28.28520532226561</v>
      </c>
      <c r="BD19" s="98">
        <f>Fcast_TO!P19</f>
        <v>28.992335455322248</v>
      </c>
      <c r="BE19" s="98">
        <f>Fcast_TO!Q19</f>
        <v>29.7171438417053</v>
      </c>
    </row>
    <row r="20" spans="2:39" ht="10.5">
      <c r="B20" s="151" t="str">
        <f>IS_TO!D37</f>
        <v>Tax Expense / (Benefit)</v>
      </c>
      <c r="C20" s="148"/>
      <c r="D20" s="148"/>
      <c r="E20" s="148"/>
      <c r="F20" s="148"/>
      <c r="G20" s="148"/>
      <c r="H20" s="148"/>
      <c r="I20" s="148"/>
      <c r="J20" s="148"/>
      <c r="K20" s="148"/>
      <c r="L20" s="148"/>
      <c r="M20" s="148"/>
      <c r="N20" s="152">
        <f>IS_TO!J37</f>
        <v>-12.7875</v>
      </c>
      <c r="O20" s="152">
        <f>IS_TO!K37</f>
        <v>-13.1315625</v>
      </c>
      <c r="P20" s="152">
        <f>IS_TO!L37</f>
        <v>-13.4842265625</v>
      </c>
      <c r="Q20" s="152">
        <f>IS_TO!M37</f>
        <v>-13.845707226562503</v>
      </c>
      <c r="R20" s="152">
        <f>IS_TO!N37</f>
        <v>-14.167474907226566</v>
      </c>
      <c r="S20" s="152">
        <f>IS_TO!O37</f>
        <v>-14.498505529907227</v>
      </c>
      <c r="V20" s="166"/>
      <c r="W20" s="166"/>
      <c r="X20" s="166"/>
      <c r="Y20" s="166"/>
      <c r="Z20" s="166"/>
      <c r="AA20" s="166"/>
      <c r="AB20" s="166"/>
      <c r="AC20" s="166"/>
      <c r="AD20" s="166"/>
      <c r="AE20" s="166"/>
      <c r="AF20" s="166"/>
      <c r="AG20" s="166"/>
      <c r="AH20" s="166"/>
      <c r="AI20" s="166"/>
      <c r="AJ20" s="166"/>
      <c r="AK20" s="166"/>
      <c r="AL20" s="166"/>
      <c r="AM20" s="166"/>
    </row>
    <row r="21" spans="2:42" ht="11.25" thickBot="1">
      <c r="B21" s="176" t="str">
        <f>IS_TO!C39</f>
        <v>Net Profit After Tax</v>
      </c>
      <c r="C21" s="148"/>
      <c r="D21" s="148"/>
      <c r="E21" s="148"/>
      <c r="F21" s="148"/>
      <c r="G21" s="148"/>
      <c r="H21" s="148"/>
      <c r="I21" s="148"/>
      <c r="J21" s="148"/>
      <c r="K21" s="148"/>
      <c r="L21" s="148"/>
      <c r="M21" s="148"/>
      <c r="N21" s="154">
        <f aca="true" t="shared" si="4" ref="N21:S21">SUM(N19:N20)</f>
        <v>29.8375</v>
      </c>
      <c r="O21" s="154">
        <f t="shared" si="4"/>
        <v>30.6403125</v>
      </c>
      <c r="P21" s="154">
        <f t="shared" si="4"/>
        <v>31.463195312500005</v>
      </c>
      <c r="Q21" s="154">
        <f t="shared" si="4"/>
        <v>32.30665019531251</v>
      </c>
      <c r="R21" s="154">
        <f t="shared" si="4"/>
        <v>33.05744145019533</v>
      </c>
      <c r="S21" s="154">
        <f t="shared" si="4"/>
        <v>33.8298462364502</v>
      </c>
      <c r="V21" s="166"/>
      <c r="W21" s="166"/>
      <c r="X21" s="166"/>
      <c r="Y21" s="166"/>
      <c r="Z21" s="166"/>
      <c r="AA21" s="166"/>
      <c r="AB21" s="166"/>
      <c r="AC21" s="166"/>
      <c r="AD21" s="166"/>
      <c r="AE21" s="166"/>
      <c r="AF21" s="166"/>
      <c r="AG21" s="166"/>
      <c r="AH21" s="166"/>
      <c r="AI21" s="166"/>
      <c r="AJ21" s="166"/>
      <c r="AK21" s="166"/>
      <c r="AL21" s="166"/>
      <c r="AM21" s="166"/>
      <c r="AP21" s="110" t="s">
        <v>452</v>
      </c>
    </row>
    <row r="22" spans="22:39" ht="11.25" thickTop="1">
      <c r="V22" s="166"/>
      <c r="W22" s="166"/>
      <c r="X22" s="166"/>
      <c r="Y22" s="166"/>
      <c r="Z22" s="166"/>
      <c r="AA22" s="166"/>
      <c r="AB22" s="166"/>
      <c r="AC22" s="166"/>
      <c r="AD22" s="166"/>
      <c r="AE22" s="166"/>
      <c r="AF22" s="166"/>
      <c r="AG22" s="166"/>
      <c r="AH22" s="166"/>
      <c r="AI22" s="166"/>
      <c r="AJ22" s="166"/>
      <c r="AK22" s="166"/>
      <c r="AL22" s="166"/>
      <c r="AM22" s="166"/>
    </row>
    <row r="23" spans="2:47" ht="10.5">
      <c r="B23" s="178" t="s">
        <v>444</v>
      </c>
      <c r="C23" s="148"/>
      <c r="D23" s="148"/>
      <c r="E23" s="148"/>
      <c r="F23" s="148"/>
      <c r="G23" s="148"/>
      <c r="H23" s="148"/>
      <c r="I23" s="148"/>
      <c r="J23" s="148"/>
      <c r="K23" s="148"/>
      <c r="L23" s="148"/>
      <c r="M23" s="148"/>
      <c r="N23" s="187">
        <f aca="true" t="shared" si="5" ref="N23:S23">IF(ISERROR(N15/N11),"N/A",N15/N11)</f>
        <v>0.48</v>
      </c>
      <c r="O23" s="187">
        <f t="shared" si="5"/>
        <v>0.48</v>
      </c>
      <c r="P23" s="187">
        <f t="shared" si="5"/>
        <v>0.48000000000000004</v>
      </c>
      <c r="Q23" s="187">
        <f t="shared" si="5"/>
        <v>0.48000000000000004</v>
      </c>
      <c r="R23" s="187">
        <f t="shared" si="5"/>
        <v>0.4800000000000001</v>
      </c>
      <c r="S23" s="187">
        <f t="shared" si="5"/>
        <v>0.4800000000000001</v>
      </c>
      <c r="V23" s="166"/>
      <c r="W23" s="166"/>
      <c r="X23" s="166"/>
      <c r="Y23" s="166"/>
      <c r="Z23" s="166"/>
      <c r="AA23" s="166"/>
      <c r="AB23" s="166"/>
      <c r="AC23" s="166"/>
      <c r="AD23" s="166"/>
      <c r="AE23" s="166"/>
      <c r="AF23" s="166"/>
      <c r="AG23" s="166"/>
      <c r="AH23" s="166"/>
      <c r="AI23" s="166"/>
      <c r="AJ23" s="166"/>
      <c r="AK23" s="166"/>
      <c r="AL23" s="166"/>
      <c r="AM23" s="166"/>
      <c r="AQ23" s="110" t="s">
        <v>350</v>
      </c>
      <c r="AU23" s="5" t="str">
        <f>Fcast_TO!C20</f>
        <v>Operating Expenditure</v>
      </c>
    </row>
    <row r="24" spans="22:39" ht="10.5">
      <c r="V24" s="166"/>
      <c r="W24" s="166"/>
      <c r="X24" s="166"/>
      <c r="Y24" s="166"/>
      <c r="Z24" s="166"/>
      <c r="AA24" s="166"/>
      <c r="AB24" s="166"/>
      <c r="AC24" s="166"/>
      <c r="AD24" s="166"/>
      <c r="AE24" s="166"/>
      <c r="AF24" s="166"/>
      <c r="AG24" s="166"/>
      <c r="AH24" s="166"/>
      <c r="AI24" s="166"/>
      <c r="AJ24" s="166"/>
      <c r="AK24" s="166"/>
      <c r="AL24" s="166"/>
      <c r="AM24" s="166"/>
    </row>
    <row r="25" spans="22:57" ht="10.5">
      <c r="V25" s="166"/>
      <c r="W25" s="166"/>
      <c r="X25" s="166"/>
      <c r="Y25" s="166"/>
      <c r="Z25" s="166"/>
      <c r="AA25" s="166"/>
      <c r="AB25" s="166"/>
      <c r="AC25" s="166"/>
      <c r="AD25" s="166"/>
      <c r="AE25" s="166"/>
      <c r="AF25" s="166"/>
      <c r="AG25" s="166"/>
      <c r="AH25" s="166"/>
      <c r="AI25" s="166"/>
      <c r="AJ25" s="166"/>
      <c r="AK25" s="166"/>
      <c r="AL25" s="166"/>
      <c r="AM25" s="166"/>
      <c r="AQ25" s="5" t="str">
        <f>Fcast_TO!C20</f>
        <v>Operating Expenditure</v>
      </c>
      <c r="AX25" s="98">
        <f>Fcast_TO!J20</f>
        <v>40</v>
      </c>
      <c r="AY25" s="98">
        <f>Fcast_TO!K20</f>
        <v>41</v>
      </c>
      <c r="AZ25" s="98">
        <f>Fcast_TO!L20</f>
        <v>42.025</v>
      </c>
      <c r="BA25" s="98">
        <f>Fcast_TO!M20</f>
        <v>43.075624999999995</v>
      </c>
      <c r="BB25" s="98">
        <f>Fcast_TO!N20</f>
        <v>44.15251562499999</v>
      </c>
      <c r="BC25" s="98">
        <f>Fcast_TO!O20</f>
        <v>45.256328515624986</v>
      </c>
      <c r="BD25" s="98">
        <f>Fcast_TO!P20</f>
        <v>46.387736728515605</v>
      </c>
      <c r="BE25" s="98">
        <f>Fcast_TO!Q20</f>
        <v>47.547430146728495</v>
      </c>
    </row>
    <row r="26" spans="2:39" ht="11.25">
      <c r="B26" s="264" t="s">
        <v>0</v>
      </c>
      <c r="C26" s="265"/>
      <c r="D26" s="265"/>
      <c r="E26" s="265"/>
      <c r="F26" s="265"/>
      <c r="G26" s="265"/>
      <c r="H26" s="265"/>
      <c r="I26" s="265"/>
      <c r="J26" s="265"/>
      <c r="K26" s="265"/>
      <c r="L26" s="265"/>
      <c r="M26" s="265"/>
      <c r="N26" s="265"/>
      <c r="O26" s="265"/>
      <c r="P26" s="265"/>
      <c r="Q26" s="265"/>
      <c r="R26" s="265"/>
      <c r="S26" s="266"/>
      <c r="V26" s="166"/>
      <c r="W26" s="166"/>
      <c r="X26" s="166"/>
      <c r="Y26" s="166"/>
      <c r="Z26" s="166"/>
      <c r="AA26" s="166"/>
      <c r="AB26" s="166"/>
      <c r="AC26" s="166"/>
      <c r="AD26" s="166"/>
      <c r="AE26" s="166"/>
      <c r="AF26" s="166"/>
      <c r="AG26" s="166"/>
      <c r="AH26" s="166"/>
      <c r="AI26" s="166"/>
      <c r="AJ26" s="166"/>
      <c r="AK26" s="166"/>
      <c r="AL26" s="166"/>
      <c r="AM26" s="166"/>
    </row>
    <row r="27" spans="2:42" ht="11.25">
      <c r="B27" s="148"/>
      <c r="C27" s="148"/>
      <c r="D27" s="148"/>
      <c r="E27" s="148"/>
      <c r="F27" s="148"/>
      <c r="G27" s="148"/>
      <c r="H27" s="148"/>
      <c r="I27" s="148"/>
      <c r="J27" s="148"/>
      <c r="K27" s="148"/>
      <c r="L27" s="148"/>
      <c r="M27" s="148"/>
      <c r="N27" s="148"/>
      <c r="O27" s="148"/>
      <c r="P27" s="148"/>
      <c r="Q27" s="148"/>
      <c r="R27" s="148"/>
      <c r="S27" s="148"/>
      <c r="V27" s="254" t="s">
        <v>433</v>
      </c>
      <c r="W27" s="254"/>
      <c r="X27" s="254"/>
      <c r="Y27" s="254"/>
      <c r="Z27" s="254"/>
      <c r="AA27" s="254"/>
      <c r="AB27" s="254"/>
      <c r="AC27" s="254"/>
      <c r="AD27" s="254"/>
      <c r="AE27" s="254"/>
      <c r="AF27" s="254"/>
      <c r="AG27" s="254"/>
      <c r="AH27" s="254"/>
      <c r="AI27" s="254"/>
      <c r="AJ27" s="254"/>
      <c r="AK27" s="254"/>
      <c r="AL27" s="254"/>
      <c r="AM27" s="254"/>
      <c r="AP27" s="110" t="s">
        <v>453</v>
      </c>
    </row>
    <row r="28" spans="2:39" ht="10.5">
      <c r="B28" s="149" t="str">
        <f>IF(TS_Periodicity=Annual,IS_TO!$B$7,IS_TO!$B$6)</f>
        <v>Year Ending 31 December</v>
      </c>
      <c r="C28" s="148"/>
      <c r="D28" s="148"/>
      <c r="E28" s="148"/>
      <c r="F28" s="148"/>
      <c r="G28" s="148"/>
      <c r="H28" s="148"/>
      <c r="I28" s="148"/>
      <c r="J28" s="148"/>
      <c r="K28" s="148"/>
      <c r="L28" s="148"/>
      <c r="M28" s="148"/>
      <c r="N28" s="150" t="str">
        <f>IF(TS_Periodicity=Annual,IS_TO!J$7,IS_TO!J$6)</f>
        <v>2010 (F) </v>
      </c>
      <c r="O28" s="150" t="str">
        <f>IF(TS_Periodicity=Annual,IS_TO!K$7,IS_TO!K$6)</f>
        <v>2011 (F) </v>
      </c>
      <c r="P28" s="150" t="str">
        <f>IF(TS_Periodicity=Annual,IS_TO!L$7,IS_TO!L$6)</f>
        <v>2012 (F) </v>
      </c>
      <c r="Q28" s="150" t="str">
        <f>IF(TS_Periodicity=Annual,IS_TO!M$7,IS_TO!M$6)</f>
        <v>2013 (F) </v>
      </c>
      <c r="R28" s="150" t="str">
        <f>IF(TS_Periodicity=Annual,IS_TO!N$7,IS_TO!N$6)</f>
        <v>2014 (F) </v>
      </c>
      <c r="S28" s="150" t="str">
        <f>IF(TS_Periodicity=Annual,IS_TO!O$7,IS_TO!O$6)</f>
        <v>2015 (F) </v>
      </c>
      <c r="V28" s="166"/>
      <c r="W28" s="166"/>
      <c r="X28" s="166"/>
      <c r="Y28" s="166"/>
      <c r="Z28" s="166"/>
      <c r="AA28" s="166"/>
      <c r="AB28" s="166"/>
      <c r="AC28" s="166"/>
      <c r="AD28" s="166"/>
      <c r="AE28" s="166"/>
      <c r="AF28" s="166"/>
      <c r="AG28" s="166"/>
      <c r="AH28" s="166"/>
      <c r="AI28" s="166"/>
      <c r="AJ28" s="166"/>
      <c r="AK28" s="166"/>
      <c r="AL28" s="166"/>
      <c r="AM28" s="166"/>
    </row>
    <row r="29" spans="2:47" ht="10.5">
      <c r="B29" s="148"/>
      <c r="C29" s="148"/>
      <c r="D29" s="148"/>
      <c r="E29" s="148"/>
      <c r="F29" s="148"/>
      <c r="G29" s="148"/>
      <c r="H29" s="148"/>
      <c r="I29" s="148"/>
      <c r="J29" s="148"/>
      <c r="K29" s="148"/>
      <c r="L29" s="148"/>
      <c r="M29" s="148"/>
      <c r="N29" s="148"/>
      <c r="O29" s="148"/>
      <c r="P29" s="148"/>
      <c r="Q29" s="148"/>
      <c r="R29" s="148"/>
      <c r="S29" s="148"/>
      <c r="V29" s="166"/>
      <c r="W29" s="166"/>
      <c r="X29" s="166"/>
      <c r="Y29" s="166"/>
      <c r="Z29" s="166"/>
      <c r="AA29" s="166"/>
      <c r="AB29" s="166"/>
      <c r="AC29" s="166"/>
      <c r="AD29" s="166"/>
      <c r="AE29" s="166"/>
      <c r="AF29" s="166"/>
      <c r="AG29" s="166"/>
      <c r="AH29" s="166"/>
      <c r="AI29" s="166"/>
      <c r="AJ29" s="166"/>
      <c r="AK29" s="166"/>
      <c r="AL29" s="166"/>
      <c r="AM29" s="166"/>
      <c r="AQ29" s="110" t="s">
        <v>350</v>
      </c>
      <c r="AU29" s="6" t="s">
        <v>510</v>
      </c>
    </row>
    <row r="30" spans="2:39" ht="10.5">
      <c r="B30" s="151" t="s">
        <v>31</v>
      </c>
      <c r="C30" s="148"/>
      <c r="D30" s="148"/>
      <c r="E30" s="148"/>
      <c r="F30" s="148"/>
      <c r="G30" s="148"/>
      <c r="H30" s="148"/>
      <c r="I30" s="148"/>
      <c r="J30" s="148"/>
      <c r="K30" s="148"/>
      <c r="L30" s="148"/>
      <c r="M30" s="148"/>
      <c r="N30" s="152">
        <f>BS_TO!J25</f>
        <v>51.84494863013699</v>
      </c>
      <c r="O30" s="152">
        <f>BS_TO!K25</f>
        <v>64.25013484589039</v>
      </c>
      <c r="P30" s="152">
        <f>BS_TO!L25</f>
        <v>77.97088441342211</v>
      </c>
      <c r="Q30" s="152">
        <f>BS_TO!M25</f>
        <v>92.08467292246362</v>
      </c>
      <c r="R30" s="152">
        <f>BS_TO!N25</f>
        <v>111.4255397455252</v>
      </c>
      <c r="S30" s="152">
        <f>BS_TO!O25</f>
        <v>126.07413136416335</v>
      </c>
      <c r="V30" s="166"/>
      <c r="W30" s="166"/>
      <c r="X30" s="166"/>
      <c r="Y30" s="166"/>
      <c r="Z30" s="166"/>
      <c r="AA30" s="166"/>
      <c r="AB30" s="166"/>
      <c r="AC30" s="166"/>
      <c r="AD30" s="166"/>
      <c r="AE30" s="166"/>
      <c r="AF30" s="166"/>
      <c r="AG30" s="166"/>
      <c r="AH30" s="166"/>
      <c r="AI30" s="166"/>
      <c r="AJ30" s="166"/>
      <c r="AK30" s="166"/>
      <c r="AL30" s="166"/>
      <c r="AM30" s="166"/>
    </row>
    <row r="31" spans="2:57" ht="10.5">
      <c r="B31" s="151" t="s">
        <v>32</v>
      </c>
      <c r="C31" s="148"/>
      <c r="D31" s="148"/>
      <c r="E31" s="148"/>
      <c r="F31" s="148"/>
      <c r="G31" s="148"/>
      <c r="H31" s="148"/>
      <c r="I31" s="148"/>
      <c r="J31" s="148"/>
      <c r="K31" s="148"/>
      <c r="L31" s="148"/>
      <c r="M31" s="148"/>
      <c r="N31" s="152">
        <f>BS_TO!J33</f>
        <v>164.875</v>
      </c>
      <c r="O31" s="152">
        <f>BS_TO!K33</f>
        <v>169.334375</v>
      </c>
      <c r="P31" s="152">
        <f>BS_TO!L33</f>
        <v>173.880234375</v>
      </c>
      <c r="Q31" s="152">
        <f>BS_TO!M33</f>
        <v>178.514740234375</v>
      </c>
      <c r="R31" s="152">
        <f>BS_TO!N33</f>
        <v>183.2401087402344</v>
      </c>
      <c r="S31" s="152">
        <f>BS_TO!O33</f>
        <v>188.05861145874027</v>
      </c>
      <c r="V31" s="166"/>
      <c r="W31" s="166"/>
      <c r="X31" s="166"/>
      <c r="Y31" s="166"/>
      <c r="Z31" s="166"/>
      <c r="AA31" s="166"/>
      <c r="AB31" s="166"/>
      <c r="AC31" s="166"/>
      <c r="AD31" s="166"/>
      <c r="AE31" s="166"/>
      <c r="AF31" s="166"/>
      <c r="AG31" s="166"/>
      <c r="AH31" s="166"/>
      <c r="AI31" s="166"/>
      <c r="AJ31" s="166"/>
      <c r="AK31" s="166"/>
      <c r="AL31" s="166"/>
      <c r="AM31" s="166"/>
      <c r="AQ31" s="5" t="str">
        <f>IS_TO!$D$18</f>
        <v>Revenue</v>
      </c>
      <c r="AX31" s="98">
        <f>IS_TO!J18</f>
        <v>125</v>
      </c>
      <c r="AY31" s="98">
        <f>IS_TO!K18</f>
        <v>128.125</v>
      </c>
      <c r="AZ31" s="98">
        <f>IS_TO!L18</f>
        <v>131.328125</v>
      </c>
      <c r="BA31" s="98">
        <f>IS_TO!M18</f>
        <v>134.611328125</v>
      </c>
      <c r="BB31" s="98">
        <f>IS_TO!N18</f>
        <v>137.976611328125</v>
      </c>
      <c r="BC31" s="98">
        <f>IS_TO!O18</f>
        <v>141.4260266113281</v>
      </c>
      <c r="BD31" s="98">
        <f>IS_TO!P18</f>
        <v>144.96167727661128</v>
      </c>
      <c r="BE31" s="98">
        <f>IS_TO!Q18</f>
        <v>148.58571920852654</v>
      </c>
    </row>
    <row r="32" spans="2:57" ht="10.5">
      <c r="B32" s="155" t="s">
        <v>33</v>
      </c>
      <c r="C32" s="148"/>
      <c r="D32" s="148"/>
      <c r="E32" s="148"/>
      <c r="F32" s="148"/>
      <c r="G32" s="148"/>
      <c r="H32" s="148"/>
      <c r="I32" s="148"/>
      <c r="J32" s="148"/>
      <c r="K32" s="148"/>
      <c r="L32" s="148"/>
      <c r="M32" s="148"/>
      <c r="N32" s="153">
        <f aca="true" t="shared" si="6" ref="N32:S32">SUM(N30:N31)</f>
        <v>216.719948630137</v>
      </c>
      <c r="O32" s="153">
        <f t="shared" si="6"/>
        <v>233.58450984589038</v>
      </c>
      <c r="P32" s="153">
        <f t="shared" si="6"/>
        <v>251.8511187884221</v>
      </c>
      <c r="Q32" s="153">
        <f t="shared" si="6"/>
        <v>270.59941315683864</v>
      </c>
      <c r="R32" s="153">
        <f t="shared" si="6"/>
        <v>294.6656484857596</v>
      </c>
      <c r="S32" s="153">
        <f t="shared" si="6"/>
        <v>314.13274282290365</v>
      </c>
      <c r="V32" s="166"/>
      <c r="W32" s="166"/>
      <c r="X32" s="166"/>
      <c r="Y32" s="166"/>
      <c r="Z32" s="166"/>
      <c r="AA32" s="166"/>
      <c r="AB32" s="166"/>
      <c r="AC32" s="166"/>
      <c r="AD32" s="166"/>
      <c r="AE32" s="166"/>
      <c r="AF32" s="166"/>
      <c r="AG32" s="166"/>
      <c r="AH32" s="166"/>
      <c r="AI32" s="166"/>
      <c r="AJ32" s="166"/>
      <c r="AK32" s="166"/>
      <c r="AL32" s="166"/>
      <c r="AM32" s="166"/>
      <c r="AQ32" s="5" t="str">
        <f>IS_TO!$D$19</f>
        <v>Cost of Goods Sold</v>
      </c>
      <c r="AX32" s="98">
        <f>IS_TO!J19</f>
        <v>-25</v>
      </c>
      <c r="AY32" s="98">
        <f>IS_TO!K19</f>
        <v>-25.624999999999996</v>
      </c>
      <c r="AZ32" s="98">
        <f>IS_TO!L19</f>
        <v>-26.265624999999993</v>
      </c>
      <c r="BA32" s="98">
        <f>IS_TO!M19</f>
        <v>-26.92226562499999</v>
      </c>
      <c r="BB32" s="98">
        <f>IS_TO!N19</f>
        <v>-27.59532226562499</v>
      </c>
      <c r="BC32" s="98">
        <f>IS_TO!O19</f>
        <v>-28.28520532226561</v>
      </c>
      <c r="BD32" s="98">
        <f>IS_TO!P19</f>
        <v>-28.992335455322248</v>
      </c>
      <c r="BE32" s="98">
        <f>IS_TO!Q19</f>
        <v>-29.7171438417053</v>
      </c>
    </row>
    <row r="33" spans="2:57" ht="10.5">
      <c r="B33" s="148"/>
      <c r="C33" s="148"/>
      <c r="D33" s="148"/>
      <c r="E33" s="148"/>
      <c r="F33" s="148"/>
      <c r="G33" s="148"/>
      <c r="H33" s="148"/>
      <c r="I33" s="148"/>
      <c r="J33" s="148"/>
      <c r="K33" s="148"/>
      <c r="L33" s="148"/>
      <c r="M33" s="148"/>
      <c r="N33" s="152"/>
      <c r="O33" s="152"/>
      <c r="P33" s="152"/>
      <c r="Q33" s="152"/>
      <c r="R33" s="152"/>
      <c r="S33" s="152"/>
      <c r="V33" s="166"/>
      <c r="W33" s="166"/>
      <c r="X33" s="166"/>
      <c r="Y33" s="166"/>
      <c r="Z33" s="166"/>
      <c r="AA33" s="166"/>
      <c r="AB33" s="166"/>
      <c r="AC33" s="166"/>
      <c r="AD33" s="166"/>
      <c r="AE33" s="166"/>
      <c r="AF33" s="166"/>
      <c r="AG33" s="166"/>
      <c r="AH33" s="166"/>
      <c r="AI33" s="166"/>
      <c r="AJ33" s="166"/>
      <c r="AK33" s="166"/>
      <c r="AL33" s="166"/>
      <c r="AM33" s="166"/>
      <c r="AQ33" s="5" t="str">
        <f>IS_TO!$D$23</f>
        <v>Operating Expenditure</v>
      </c>
      <c r="AX33" s="98">
        <f>IS_TO!J23</f>
        <v>-40</v>
      </c>
      <c r="AY33" s="98">
        <f>IS_TO!K23</f>
        <v>-41</v>
      </c>
      <c r="AZ33" s="98">
        <f>IS_TO!L23</f>
        <v>-42.025</v>
      </c>
      <c r="BA33" s="98">
        <f>IS_TO!M23</f>
        <v>-43.075624999999995</v>
      </c>
      <c r="BB33" s="98">
        <f>IS_TO!N23</f>
        <v>-44.15251562499999</v>
      </c>
      <c r="BC33" s="98">
        <f>IS_TO!O23</f>
        <v>-45.256328515624986</v>
      </c>
      <c r="BD33" s="98">
        <f>IS_TO!P23</f>
        <v>-46.387736728515605</v>
      </c>
      <c r="BE33" s="98">
        <f>IS_TO!Q23</f>
        <v>-47.547430146728495</v>
      </c>
    </row>
    <row r="34" spans="2:57" ht="10.5">
      <c r="B34" s="151" t="s">
        <v>34</v>
      </c>
      <c r="C34" s="148"/>
      <c r="D34" s="148"/>
      <c r="E34" s="148"/>
      <c r="F34" s="148"/>
      <c r="G34" s="148"/>
      <c r="H34" s="148"/>
      <c r="I34" s="148"/>
      <c r="J34" s="148"/>
      <c r="K34" s="148"/>
      <c r="L34" s="148"/>
      <c r="M34" s="148"/>
      <c r="N34" s="152">
        <f>BS_TO!J44</f>
        <v>24.801198630136987</v>
      </c>
      <c r="O34" s="152">
        <f>BS_TO!K44</f>
        <v>26.345603595890413</v>
      </c>
      <c r="P34" s="152">
        <f>BS_TO!L44</f>
        <v>27.880614882172132</v>
      </c>
      <c r="Q34" s="152">
        <f>BS_TO!M44</f>
        <v>29.47558415293237</v>
      </c>
      <c r="R34" s="152">
        <f>BS_TO!N44</f>
        <v>31.013098756755678</v>
      </c>
      <c r="S34" s="152">
        <f>BS_TO!O44</f>
        <v>32.56526997567457</v>
      </c>
      <c r="V34" s="166"/>
      <c r="W34" s="166"/>
      <c r="X34" s="166"/>
      <c r="Y34" s="166"/>
      <c r="Z34" s="166"/>
      <c r="AA34" s="166"/>
      <c r="AB34" s="166"/>
      <c r="AC34" s="166"/>
      <c r="AD34" s="166"/>
      <c r="AE34" s="166"/>
      <c r="AF34" s="166"/>
      <c r="AG34" s="166"/>
      <c r="AH34" s="166"/>
      <c r="AI34" s="166"/>
      <c r="AJ34" s="166"/>
      <c r="AK34" s="166"/>
      <c r="AL34" s="166"/>
      <c r="AM34" s="166"/>
      <c r="AQ34" s="5" t="str">
        <f>IS_TO!$C$25</f>
        <v>EBITDA</v>
      </c>
      <c r="AX34" s="98">
        <f>IS_TO!J25</f>
        <v>60</v>
      </c>
      <c r="AY34" s="98">
        <f>IS_TO!K25</f>
        <v>61.5</v>
      </c>
      <c r="AZ34" s="98">
        <f>IS_TO!L25</f>
        <v>63.0375</v>
      </c>
      <c r="BA34" s="98">
        <f>IS_TO!M25</f>
        <v>64.6134375</v>
      </c>
      <c r="BB34" s="98">
        <f>IS_TO!N25</f>
        <v>66.22877343750001</v>
      </c>
      <c r="BC34" s="98">
        <f>IS_TO!O25</f>
        <v>67.8844927734375</v>
      </c>
      <c r="BD34" s="98">
        <f>IS_TO!P25</f>
        <v>69.58160509277343</v>
      </c>
      <c r="BE34" s="98">
        <f>IS_TO!Q25</f>
        <v>71.32114522009275</v>
      </c>
    </row>
    <row r="35" spans="2:39" ht="10.5">
      <c r="B35" s="151" t="s">
        <v>36</v>
      </c>
      <c r="C35" s="148"/>
      <c r="D35" s="148"/>
      <c r="E35" s="148"/>
      <c r="F35" s="148"/>
      <c r="G35" s="148"/>
      <c r="H35" s="148"/>
      <c r="I35" s="148"/>
      <c r="J35" s="148"/>
      <c r="K35" s="148"/>
      <c r="L35" s="148"/>
      <c r="M35" s="148"/>
      <c r="N35" s="152">
        <f>BS_TO!J51</f>
        <v>56</v>
      </c>
      <c r="O35" s="152">
        <f>BS_TO!K51</f>
        <v>57</v>
      </c>
      <c r="P35" s="152">
        <f>BS_TO!L51</f>
        <v>58</v>
      </c>
      <c r="Q35" s="152">
        <f>BS_TO!M51</f>
        <v>59</v>
      </c>
      <c r="R35" s="152">
        <f>BS_TO!N51</f>
        <v>65</v>
      </c>
      <c r="S35" s="152">
        <f>BS_TO!O51</f>
        <v>66</v>
      </c>
      <c r="V35" s="166"/>
      <c r="W35" s="166"/>
      <c r="X35" s="166"/>
      <c r="Y35" s="166"/>
      <c r="Z35" s="166"/>
      <c r="AA35" s="166"/>
      <c r="AB35" s="166"/>
      <c r="AC35" s="166"/>
      <c r="AD35" s="166"/>
      <c r="AE35" s="166"/>
      <c r="AF35" s="166"/>
      <c r="AG35" s="166"/>
      <c r="AH35" s="166"/>
      <c r="AI35" s="166"/>
      <c r="AJ35" s="166"/>
      <c r="AK35" s="166"/>
      <c r="AL35" s="166"/>
      <c r="AM35" s="166"/>
    </row>
    <row r="36" spans="2:42" ht="10.5">
      <c r="B36" s="155" t="s">
        <v>37</v>
      </c>
      <c r="C36" s="148"/>
      <c r="D36" s="148"/>
      <c r="E36" s="148"/>
      <c r="F36" s="148"/>
      <c r="G36" s="148"/>
      <c r="H36" s="148"/>
      <c r="I36" s="148"/>
      <c r="J36" s="148"/>
      <c r="K36" s="148"/>
      <c r="L36" s="148"/>
      <c r="M36" s="148"/>
      <c r="N36" s="153">
        <f aca="true" t="shared" si="7" ref="N36:S36">SUM(N34:N35)</f>
        <v>80.80119863013698</v>
      </c>
      <c r="O36" s="153">
        <f t="shared" si="7"/>
        <v>83.34560359589041</v>
      </c>
      <c r="P36" s="153">
        <f t="shared" si="7"/>
        <v>85.88061488217213</v>
      </c>
      <c r="Q36" s="153">
        <f t="shared" si="7"/>
        <v>88.47558415293237</v>
      </c>
      <c r="R36" s="153">
        <f t="shared" si="7"/>
        <v>96.01309875675568</v>
      </c>
      <c r="S36" s="153">
        <f t="shared" si="7"/>
        <v>98.56526997567457</v>
      </c>
      <c r="V36" s="166"/>
      <c r="W36" s="166"/>
      <c r="X36" s="166"/>
      <c r="Y36" s="166"/>
      <c r="Z36" s="166"/>
      <c r="AA36" s="166"/>
      <c r="AB36" s="166"/>
      <c r="AC36" s="166"/>
      <c r="AD36" s="166"/>
      <c r="AE36" s="166"/>
      <c r="AF36" s="166"/>
      <c r="AG36" s="166"/>
      <c r="AH36" s="166"/>
      <c r="AI36" s="166"/>
      <c r="AJ36" s="166"/>
      <c r="AK36" s="166"/>
      <c r="AL36" s="166"/>
      <c r="AM36" s="166"/>
      <c r="AP36" s="110" t="s">
        <v>453</v>
      </c>
    </row>
    <row r="37" spans="2:39" ht="10.5">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row>
    <row r="38" spans="2:47" ht="10.5">
      <c r="B38" s="155" t="s">
        <v>38</v>
      </c>
      <c r="C38" s="148"/>
      <c r="D38" s="148"/>
      <c r="E38" s="148"/>
      <c r="F38" s="148"/>
      <c r="G38" s="148"/>
      <c r="H38" s="148"/>
      <c r="I38" s="148"/>
      <c r="J38" s="148"/>
      <c r="K38" s="148"/>
      <c r="L38" s="148"/>
      <c r="M38" s="148"/>
      <c r="N38" s="156">
        <f aca="true" t="shared" si="8" ref="N38:S38">N32-N36</f>
        <v>135.91875000000002</v>
      </c>
      <c r="O38" s="156">
        <f t="shared" si="8"/>
        <v>150.23890624999996</v>
      </c>
      <c r="P38" s="156">
        <f t="shared" si="8"/>
        <v>165.97050390624997</v>
      </c>
      <c r="Q38" s="156">
        <f t="shared" si="8"/>
        <v>182.12382900390628</v>
      </c>
      <c r="R38" s="156">
        <f t="shared" si="8"/>
        <v>198.65254972900394</v>
      </c>
      <c r="S38" s="156">
        <f t="shared" si="8"/>
        <v>215.56747284722908</v>
      </c>
      <c r="V38" s="166"/>
      <c r="W38" s="166"/>
      <c r="X38" s="166"/>
      <c r="Y38" s="166"/>
      <c r="Z38" s="166"/>
      <c r="AA38" s="166"/>
      <c r="AB38" s="166"/>
      <c r="AC38" s="166"/>
      <c r="AD38" s="166"/>
      <c r="AE38" s="166"/>
      <c r="AF38" s="166"/>
      <c r="AG38" s="166"/>
      <c r="AH38" s="166"/>
      <c r="AI38" s="166"/>
      <c r="AJ38" s="166"/>
      <c r="AK38" s="166"/>
      <c r="AL38" s="166"/>
      <c r="AM38" s="166"/>
      <c r="AQ38" s="110" t="s">
        <v>350</v>
      </c>
      <c r="AU38" s="117" t="str">
        <f>"Operating Expenditure - Committed vs. Discretionary - "&amp;INDEX(LU_Dashboard_Selected_Period,AU40)</f>
        <v>Operating Expenditure - Committed vs. Discretionary - 2010 (F) </v>
      </c>
    </row>
    <row r="39" spans="2:39" ht="10.5">
      <c r="B39" s="148"/>
      <c r="C39" s="148"/>
      <c r="D39" s="148"/>
      <c r="E39" s="148"/>
      <c r="F39" s="148"/>
      <c r="G39" s="148"/>
      <c r="H39" s="148"/>
      <c r="I39" s="148"/>
      <c r="J39" s="148"/>
      <c r="K39" s="148"/>
      <c r="L39" s="148"/>
      <c r="M39" s="148"/>
      <c r="N39" s="152"/>
      <c r="O39" s="152"/>
      <c r="P39" s="152"/>
      <c r="Q39" s="152"/>
      <c r="R39" s="152"/>
      <c r="S39" s="152"/>
      <c r="V39" s="166"/>
      <c r="W39" s="166"/>
      <c r="X39" s="166"/>
      <c r="Y39" s="166"/>
      <c r="Z39" s="166"/>
      <c r="AA39" s="166"/>
      <c r="AB39" s="166"/>
      <c r="AC39" s="166"/>
      <c r="AD39" s="166"/>
      <c r="AE39" s="166"/>
      <c r="AF39" s="166"/>
      <c r="AG39" s="166"/>
      <c r="AH39" s="166"/>
      <c r="AI39" s="166"/>
      <c r="AJ39" s="166"/>
      <c r="AK39" s="166"/>
      <c r="AL39" s="166"/>
      <c r="AM39" s="166"/>
    </row>
    <row r="40" spans="2:47" ht="10.5">
      <c r="B40" s="151" t="s">
        <v>275</v>
      </c>
      <c r="C40" s="148"/>
      <c r="D40" s="148"/>
      <c r="E40" s="148"/>
      <c r="F40" s="148"/>
      <c r="G40" s="148"/>
      <c r="H40" s="148"/>
      <c r="I40" s="148"/>
      <c r="J40" s="148"/>
      <c r="K40" s="148"/>
      <c r="L40" s="148"/>
      <c r="M40" s="148"/>
      <c r="N40" s="152">
        <f>BS_TO!J59</f>
        <v>75</v>
      </c>
      <c r="O40" s="152">
        <f>BS_TO!K59</f>
        <v>75</v>
      </c>
      <c r="P40" s="152">
        <f>BS_TO!L59</f>
        <v>75</v>
      </c>
      <c r="Q40" s="152">
        <f>BS_TO!M59</f>
        <v>75</v>
      </c>
      <c r="R40" s="152">
        <f>BS_TO!N59</f>
        <v>75</v>
      </c>
      <c r="S40" s="152">
        <f>BS_TO!O59</f>
        <v>75</v>
      </c>
      <c r="V40" s="166"/>
      <c r="W40" s="166"/>
      <c r="X40" s="166"/>
      <c r="Y40" s="166"/>
      <c r="Z40" s="166"/>
      <c r="AA40" s="166"/>
      <c r="AB40" s="166"/>
      <c r="AC40" s="166"/>
      <c r="AD40" s="166"/>
      <c r="AE40" s="166"/>
      <c r="AF40" s="166"/>
      <c r="AG40" s="166"/>
      <c r="AH40" s="166"/>
      <c r="AI40" s="166"/>
      <c r="AJ40" s="166"/>
      <c r="AK40" s="166"/>
      <c r="AL40" s="166"/>
      <c r="AM40" s="166"/>
      <c r="AQ40" s="110" t="s">
        <v>448</v>
      </c>
      <c r="AU40" s="191">
        <v>1</v>
      </c>
    </row>
    <row r="41" spans="2:39" ht="10.5">
      <c r="B41" s="151" t="s">
        <v>40</v>
      </c>
      <c r="C41" s="148"/>
      <c r="D41" s="148"/>
      <c r="E41" s="148"/>
      <c r="F41" s="148"/>
      <c r="G41" s="148"/>
      <c r="H41" s="148"/>
      <c r="I41" s="148"/>
      <c r="J41" s="148"/>
      <c r="K41" s="148"/>
      <c r="L41" s="148"/>
      <c r="M41" s="148"/>
      <c r="N41" s="152">
        <f>BS_TO!J65</f>
        <v>60.91875</v>
      </c>
      <c r="O41" s="152">
        <f>BS_TO!K65</f>
        <v>76.23890625000001</v>
      </c>
      <c r="P41" s="152">
        <f>BS_TO!L65</f>
        <v>91.97050390625002</v>
      </c>
      <c r="Q41" s="152">
        <f>BS_TO!M65</f>
        <v>108.12382900390628</v>
      </c>
      <c r="R41" s="152">
        <f>BS_TO!N65</f>
        <v>124.65254972900394</v>
      </c>
      <c r="S41" s="152">
        <f>BS_TO!O65</f>
        <v>141.56747284722906</v>
      </c>
      <c r="V41" s="166"/>
      <c r="W41" s="166"/>
      <c r="X41" s="166"/>
      <c r="Y41" s="166"/>
      <c r="Z41" s="166"/>
      <c r="AA41" s="166"/>
      <c r="AB41" s="166"/>
      <c r="AC41" s="166"/>
      <c r="AD41" s="166"/>
      <c r="AE41" s="166"/>
      <c r="AF41" s="166"/>
      <c r="AG41" s="166"/>
      <c r="AH41" s="166"/>
      <c r="AI41" s="166"/>
      <c r="AJ41" s="166"/>
      <c r="AK41" s="166"/>
      <c r="AL41" s="166"/>
      <c r="AM41" s="166"/>
    </row>
    <row r="42" spans="2:50" ht="10.5">
      <c r="B42" s="155" t="s">
        <v>41</v>
      </c>
      <c r="C42" s="148"/>
      <c r="D42" s="148"/>
      <c r="E42" s="148"/>
      <c r="F42" s="148"/>
      <c r="G42" s="148"/>
      <c r="H42" s="148"/>
      <c r="I42" s="148"/>
      <c r="J42" s="148"/>
      <c r="K42" s="148"/>
      <c r="L42" s="148"/>
      <c r="M42" s="148"/>
      <c r="N42" s="156">
        <f aca="true" t="shared" si="9" ref="N42:S42">SUM(N40:N41)</f>
        <v>135.91875</v>
      </c>
      <c r="O42" s="156">
        <f t="shared" si="9"/>
        <v>151.23890625</v>
      </c>
      <c r="P42" s="156">
        <f t="shared" si="9"/>
        <v>166.97050390625003</v>
      </c>
      <c r="Q42" s="156">
        <f t="shared" si="9"/>
        <v>183.12382900390628</v>
      </c>
      <c r="R42" s="156">
        <f t="shared" si="9"/>
        <v>199.65254972900394</v>
      </c>
      <c r="S42" s="156">
        <f t="shared" si="9"/>
        <v>216.56747284722906</v>
      </c>
      <c r="V42" s="166"/>
      <c r="W42" s="166"/>
      <c r="X42" s="166"/>
      <c r="Y42" s="166"/>
      <c r="Z42" s="166"/>
      <c r="AA42" s="166"/>
      <c r="AB42" s="166"/>
      <c r="AC42" s="166"/>
      <c r="AD42" s="166"/>
      <c r="AE42" s="166"/>
      <c r="AF42" s="166"/>
      <c r="AG42" s="166"/>
      <c r="AH42" s="166"/>
      <c r="AI42" s="166"/>
      <c r="AJ42" s="166"/>
      <c r="AK42" s="166"/>
      <c r="AL42" s="166"/>
      <c r="AM42" s="166"/>
      <c r="AQ42" s="6" t="s">
        <v>455</v>
      </c>
      <c r="AW42" s="161">
        <v>0.475</v>
      </c>
      <c r="AX42" s="97">
        <f ca="1">SUM(OFFSET($AX$25:$AX$25,0,$AU$40-1))*AW42</f>
        <v>19</v>
      </c>
    </row>
    <row r="43" spans="2:50" ht="10.5">
      <c r="B43" s="148"/>
      <c r="C43" s="148"/>
      <c r="D43" s="148"/>
      <c r="E43" s="148"/>
      <c r="F43" s="148"/>
      <c r="G43" s="148"/>
      <c r="H43" s="148"/>
      <c r="I43" s="148"/>
      <c r="J43" s="148"/>
      <c r="K43" s="148"/>
      <c r="L43" s="148"/>
      <c r="M43" s="148"/>
      <c r="N43" s="148"/>
      <c r="O43" s="148"/>
      <c r="P43" s="148"/>
      <c r="Q43" s="148"/>
      <c r="R43" s="148"/>
      <c r="S43" s="148"/>
      <c r="V43" s="166"/>
      <c r="W43" s="166"/>
      <c r="X43" s="166"/>
      <c r="Y43" s="166"/>
      <c r="Z43" s="166"/>
      <c r="AA43" s="166"/>
      <c r="AB43" s="166"/>
      <c r="AC43" s="166"/>
      <c r="AD43" s="166"/>
      <c r="AE43" s="166"/>
      <c r="AF43" s="166"/>
      <c r="AG43" s="166"/>
      <c r="AH43" s="166"/>
      <c r="AI43" s="166"/>
      <c r="AJ43" s="166"/>
      <c r="AK43" s="166"/>
      <c r="AL43" s="166"/>
      <c r="AM43" s="166"/>
      <c r="AQ43" s="6" t="s">
        <v>454</v>
      </c>
      <c r="AW43" s="119">
        <f>1-AW42</f>
        <v>0.525</v>
      </c>
      <c r="AX43" s="97">
        <f ca="1">SUM(OFFSET($AX$25:$AX$25,0,$AU$40-1))*AW43</f>
        <v>21</v>
      </c>
    </row>
    <row r="44" spans="22:50" ht="10.5">
      <c r="V44" s="166"/>
      <c r="W44" s="166"/>
      <c r="X44" s="166"/>
      <c r="Y44" s="166"/>
      <c r="Z44" s="166"/>
      <c r="AA44" s="166"/>
      <c r="AB44" s="166"/>
      <c r="AC44" s="166"/>
      <c r="AD44" s="166"/>
      <c r="AE44" s="166"/>
      <c r="AF44" s="166"/>
      <c r="AG44" s="166"/>
      <c r="AH44" s="166"/>
      <c r="AI44" s="166"/>
      <c r="AJ44" s="166"/>
      <c r="AK44" s="166"/>
      <c r="AL44" s="166"/>
      <c r="AM44" s="166"/>
      <c r="AQ44" s="5"/>
      <c r="AX44" s="97"/>
    </row>
    <row r="45" spans="2:50" ht="11.25">
      <c r="B45" s="255" t="s">
        <v>46</v>
      </c>
      <c r="C45" s="256"/>
      <c r="D45" s="256"/>
      <c r="E45" s="256"/>
      <c r="F45" s="256"/>
      <c r="G45" s="256"/>
      <c r="H45" s="256"/>
      <c r="I45" s="256"/>
      <c r="J45" s="256"/>
      <c r="K45" s="256"/>
      <c r="L45" s="256"/>
      <c r="M45" s="256"/>
      <c r="N45" s="256"/>
      <c r="O45" s="256"/>
      <c r="P45" s="256"/>
      <c r="Q45" s="256"/>
      <c r="R45" s="256"/>
      <c r="S45" s="257"/>
      <c r="V45" s="166"/>
      <c r="W45" s="166"/>
      <c r="X45" s="166"/>
      <c r="Y45" s="166"/>
      <c r="Z45" s="166"/>
      <c r="AA45" s="166"/>
      <c r="AB45" s="166"/>
      <c r="AC45" s="166"/>
      <c r="AD45" s="166"/>
      <c r="AE45" s="166"/>
      <c r="AF45" s="166"/>
      <c r="AG45" s="166"/>
      <c r="AH45" s="166"/>
      <c r="AI45" s="166"/>
      <c r="AJ45" s="166"/>
      <c r="AK45" s="166"/>
      <c r="AL45" s="166"/>
      <c r="AM45" s="166"/>
      <c r="AP45" s="110" t="s">
        <v>463</v>
      </c>
      <c r="AQ45" s="5"/>
      <c r="AX45" s="97"/>
    </row>
    <row r="46" spans="2:50" ht="11.25">
      <c r="B46" s="148"/>
      <c r="C46" s="148"/>
      <c r="D46" s="148"/>
      <c r="E46" s="148"/>
      <c r="F46" s="148"/>
      <c r="G46" s="148"/>
      <c r="H46" s="148"/>
      <c r="I46" s="148"/>
      <c r="J46" s="148"/>
      <c r="K46" s="148"/>
      <c r="L46" s="148"/>
      <c r="M46" s="148"/>
      <c r="N46" s="148"/>
      <c r="O46" s="148"/>
      <c r="P46" s="148"/>
      <c r="Q46" s="148"/>
      <c r="R46" s="148"/>
      <c r="S46" s="148"/>
      <c r="V46" s="254" t="s">
        <v>434</v>
      </c>
      <c r="W46" s="254"/>
      <c r="X46" s="254"/>
      <c r="Y46" s="254"/>
      <c r="Z46" s="254"/>
      <c r="AA46" s="254"/>
      <c r="AB46" s="254"/>
      <c r="AC46" s="254"/>
      <c r="AD46" s="254"/>
      <c r="AE46" s="254"/>
      <c r="AF46" s="254"/>
      <c r="AG46" s="254"/>
      <c r="AH46" s="254"/>
      <c r="AI46" s="254"/>
      <c r="AJ46" s="254"/>
      <c r="AK46" s="254"/>
      <c r="AL46" s="254"/>
      <c r="AM46" s="254"/>
      <c r="AQ46" s="5"/>
      <c r="AX46" s="97"/>
    </row>
    <row r="47" spans="2:47" ht="10.5">
      <c r="B47" s="149" t="str">
        <f>IF(TS_Periodicity=Annual,IS_TO!$B$7,IS_TO!$B$6)</f>
        <v>Year Ending 31 December</v>
      </c>
      <c r="C47" s="148"/>
      <c r="D47" s="148"/>
      <c r="E47" s="148"/>
      <c r="F47" s="148"/>
      <c r="G47" s="148"/>
      <c r="H47" s="148"/>
      <c r="I47" s="148"/>
      <c r="J47" s="148"/>
      <c r="K47" s="148"/>
      <c r="L47" s="148"/>
      <c r="M47" s="148"/>
      <c r="N47" s="150" t="str">
        <f>IF(TS_Periodicity=Annual,IS_TO!J$7,IS_TO!J$6)</f>
        <v>2010 (F) </v>
      </c>
      <c r="O47" s="150" t="str">
        <f>IF(TS_Periodicity=Annual,IS_TO!K$7,IS_TO!K$6)</f>
        <v>2011 (F) </v>
      </c>
      <c r="P47" s="150" t="str">
        <f>IF(TS_Periodicity=Annual,IS_TO!L$7,IS_TO!L$6)</f>
        <v>2012 (F) </v>
      </c>
      <c r="Q47" s="150" t="str">
        <f>IF(TS_Periodicity=Annual,IS_TO!M$7,IS_TO!M$6)</f>
        <v>2013 (F) </v>
      </c>
      <c r="R47" s="150" t="str">
        <f>IF(TS_Periodicity=Annual,IS_TO!N$7,IS_TO!N$6)</f>
        <v>2014 (F) </v>
      </c>
      <c r="S47" s="150" t="str">
        <f>IF(TS_Periodicity=Annual,IS_TO!O$7,IS_TO!O$6)</f>
        <v>2015 (F) </v>
      </c>
      <c r="V47" s="166"/>
      <c r="W47" s="166"/>
      <c r="X47" s="166"/>
      <c r="Y47" s="166"/>
      <c r="Z47" s="166"/>
      <c r="AA47" s="166"/>
      <c r="AB47" s="166"/>
      <c r="AC47" s="166"/>
      <c r="AD47" s="166"/>
      <c r="AE47" s="166"/>
      <c r="AF47" s="166"/>
      <c r="AG47" s="166"/>
      <c r="AH47" s="166"/>
      <c r="AI47" s="166"/>
      <c r="AJ47" s="166"/>
      <c r="AK47" s="166"/>
      <c r="AL47" s="166"/>
      <c r="AM47" s="166"/>
      <c r="AQ47" s="110" t="s">
        <v>350</v>
      </c>
      <c r="AU47" s="117" t="str">
        <f>"Net Assets - "&amp;INDEX(LU_Dashboard_Selected_Period,AU49)</f>
        <v>Net Assets - 2010 (F) </v>
      </c>
    </row>
    <row r="48" spans="2:39" ht="10.5">
      <c r="B48" s="148"/>
      <c r="C48" s="148"/>
      <c r="D48" s="148"/>
      <c r="E48" s="148"/>
      <c r="F48" s="148"/>
      <c r="G48" s="148"/>
      <c r="H48" s="148"/>
      <c r="I48" s="148"/>
      <c r="J48" s="148"/>
      <c r="K48" s="148"/>
      <c r="L48" s="148"/>
      <c r="M48" s="148"/>
      <c r="N48" s="148"/>
      <c r="O48" s="148"/>
      <c r="P48" s="148"/>
      <c r="Q48" s="148"/>
      <c r="R48" s="148"/>
      <c r="S48" s="148"/>
      <c r="V48" s="166"/>
      <c r="W48" s="166"/>
      <c r="X48" s="166"/>
      <c r="Y48" s="166"/>
      <c r="Z48" s="166"/>
      <c r="AA48" s="166"/>
      <c r="AB48" s="166"/>
      <c r="AC48" s="166"/>
      <c r="AD48" s="166"/>
      <c r="AE48" s="166"/>
      <c r="AF48" s="166"/>
      <c r="AG48" s="166"/>
      <c r="AH48" s="166"/>
      <c r="AI48" s="166"/>
      <c r="AJ48" s="166"/>
      <c r="AK48" s="166"/>
      <c r="AL48" s="166"/>
      <c r="AM48" s="166"/>
    </row>
    <row r="49" spans="2:47" ht="10.5">
      <c r="B49" s="151" t="s">
        <v>240</v>
      </c>
      <c r="C49" s="148"/>
      <c r="D49" s="148"/>
      <c r="E49" s="148"/>
      <c r="F49" s="148"/>
      <c r="G49" s="148"/>
      <c r="H49" s="148"/>
      <c r="I49" s="148"/>
      <c r="J49" s="148"/>
      <c r="K49" s="148"/>
      <c r="L49" s="148"/>
      <c r="M49" s="148"/>
      <c r="N49" s="152">
        <f>CFS_TO!J22</f>
        <v>135.72602739726028</v>
      </c>
      <c r="O49" s="152">
        <f>CFS_TO!K22</f>
        <v>126.86815068493149</v>
      </c>
      <c r="P49" s="152">
        <f>CFS_TO!L22</f>
        <v>131.09434650797215</v>
      </c>
      <c r="Q49" s="152">
        <f>CFS_TO!M22</f>
        <v>134.3119837574388</v>
      </c>
      <c r="R49" s="152">
        <f>CFS_TO!N22</f>
        <v>137.70001270869005</v>
      </c>
      <c r="S49" s="152">
        <f>CFS_TO!O22</f>
        <v>141.1425130264073</v>
      </c>
      <c r="V49" s="166"/>
      <c r="W49" s="166"/>
      <c r="X49" s="166"/>
      <c r="Y49" s="166"/>
      <c r="Z49" s="166"/>
      <c r="AA49" s="166"/>
      <c r="AB49" s="166"/>
      <c r="AC49" s="166"/>
      <c r="AD49" s="166"/>
      <c r="AE49" s="166"/>
      <c r="AF49" s="166"/>
      <c r="AG49" s="166"/>
      <c r="AH49" s="166"/>
      <c r="AI49" s="166"/>
      <c r="AJ49" s="166"/>
      <c r="AK49" s="166"/>
      <c r="AL49" s="166"/>
      <c r="AM49" s="166"/>
      <c r="AQ49" s="110" t="s">
        <v>448</v>
      </c>
      <c r="AU49" s="191">
        <v>1</v>
      </c>
    </row>
    <row r="50" spans="2:39" ht="10.5">
      <c r="B50" s="151" t="s">
        <v>245</v>
      </c>
      <c r="C50" s="148"/>
      <c r="D50" s="148"/>
      <c r="E50" s="148"/>
      <c r="F50" s="148"/>
      <c r="G50" s="148"/>
      <c r="H50" s="148"/>
      <c r="I50" s="148"/>
      <c r="J50" s="148"/>
      <c r="K50" s="148"/>
      <c r="L50" s="148"/>
      <c r="M50" s="148"/>
      <c r="N50" s="152">
        <f>CFS_TO!J26</f>
        <v>-72.98630136986301</v>
      </c>
      <c r="O50" s="152">
        <f>CFS_TO!K26</f>
        <v>-66.42465753424658</v>
      </c>
      <c r="P50" s="152">
        <f>CFS_TO!L26</f>
        <v>-68.10827777621827</v>
      </c>
      <c r="Q50" s="152">
        <f>CFS_TO!M26</f>
        <v>-69.76440201830225</v>
      </c>
      <c r="R50" s="152">
        <f>CFS_TO!N26</f>
        <v>-71.53209096746573</v>
      </c>
      <c r="S50" s="152">
        <f>CFS_TO!O26</f>
        <v>-73.32039324165237</v>
      </c>
      <c r="V50" s="166"/>
      <c r="W50" s="166"/>
      <c r="X50" s="166"/>
      <c r="Y50" s="166"/>
      <c r="Z50" s="166"/>
      <c r="AA50" s="166"/>
      <c r="AB50" s="166"/>
      <c r="AC50" s="166"/>
      <c r="AD50" s="166"/>
      <c r="AE50" s="166"/>
      <c r="AF50" s="166"/>
      <c r="AG50" s="166"/>
      <c r="AH50" s="166"/>
      <c r="AI50" s="166"/>
      <c r="AJ50" s="166"/>
      <c r="AK50" s="166"/>
      <c r="AL50" s="166"/>
      <c r="AM50" s="166"/>
    </row>
    <row r="51" spans="2:54" ht="10.5">
      <c r="B51" s="151" t="s">
        <v>442</v>
      </c>
      <c r="C51" s="148"/>
      <c r="D51" s="148"/>
      <c r="E51" s="148"/>
      <c r="F51" s="148"/>
      <c r="G51" s="148"/>
      <c r="H51" s="148"/>
      <c r="I51" s="148"/>
      <c r="J51" s="148"/>
      <c r="K51" s="148"/>
      <c r="L51" s="148"/>
      <c r="M51" s="148"/>
      <c r="N51" s="152">
        <f aca="true" t="shared" si="10" ref="N51:S51">N52-SUM(N49:N50)</f>
        <v>-6.75</v>
      </c>
      <c r="O51" s="152">
        <f t="shared" si="10"/>
        <v>-16.0375</v>
      </c>
      <c r="P51" s="152">
        <f t="shared" si="10"/>
        <v>-16.3815625</v>
      </c>
      <c r="Q51" s="152">
        <f t="shared" si="10"/>
        <v>-16.734226562499998</v>
      </c>
      <c r="R51" s="152">
        <f t="shared" si="10"/>
        <v>-17.258207226562504</v>
      </c>
      <c r="S51" s="152">
        <f t="shared" si="10"/>
        <v>-17.742474907226566</v>
      </c>
      <c r="V51" s="166"/>
      <c r="W51" s="166"/>
      <c r="X51" s="166"/>
      <c r="Y51" s="166"/>
      <c r="Z51" s="166"/>
      <c r="AA51" s="166"/>
      <c r="AB51" s="166"/>
      <c r="AC51" s="166"/>
      <c r="AD51" s="166"/>
      <c r="AE51" s="166"/>
      <c r="AF51" s="166"/>
      <c r="AG51" s="166"/>
      <c r="AH51" s="166"/>
      <c r="AI51" s="166"/>
      <c r="AJ51" s="166"/>
      <c r="AK51" s="166"/>
      <c r="AL51" s="166"/>
      <c r="AM51" s="166"/>
      <c r="AX51" s="252" t="s">
        <v>10</v>
      </c>
      <c r="AY51" s="252" t="s">
        <v>456</v>
      </c>
      <c r="AZ51" s="252" t="s">
        <v>457</v>
      </c>
      <c r="BA51" s="252" t="s">
        <v>458</v>
      </c>
      <c r="BB51" s="252" t="s">
        <v>459</v>
      </c>
    </row>
    <row r="52" spans="2:54" ht="10.5">
      <c r="B52" s="155" t="s">
        <v>436</v>
      </c>
      <c r="C52" s="148"/>
      <c r="D52" s="148"/>
      <c r="E52" s="148"/>
      <c r="F52" s="148"/>
      <c r="G52" s="148"/>
      <c r="H52" s="148"/>
      <c r="I52" s="148"/>
      <c r="J52" s="148"/>
      <c r="K52" s="148"/>
      <c r="L52" s="148"/>
      <c r="M52" s="148"/>
      <c r="N52" s="156">
        <f>CFS_TO!J31</f>
        <v>55.98972602739727</v>
      </c>
      <c r="O52" s="156">
        <f>CFS_TO!K31</f>
        <v>44.405993150684914</v>
      </c>
      <c r="P52" s="156">
        <f>CFS_TO!L31</f>
        <v>46.604506231753874</v>
      </c>
      <c r="Q52" s="156">
        <f>CFS_TO!M31</f>
        <v>47.81335517663656</v>
      </c>
      <c r="R52" s="156">
        <f>CFS_TO!N31</f>
        <v>48.909714514661815</v>
      </c>
      <c r="S52" s="156">
        <f>CFS_TO!O31</f>
        <v>50.07964487752837</v>
      </c>
      <c r="V52" s="166"/>
      <c r="W52" s="166"/>
      <c r="X52" s="166"/>
      <c r="Y52" s="166"/>
      <c r="Z52" s="166"/>
      <c r="AA52" s="166"/>
      <c r="AB52" s="166"/>
      <c r="AC52" s="166"/>
      <c r="AD52" s="166"/>
      <c r="AE52" s="166"/>
      <c r="AF52" s="166"/>
      <c r="AG52" s="166"/>
      <c r="AH52" s="166"/>
      <c r="AI52" s="166"/>
      <c r="AJ52" s="166"/>
      <c r="AK52" s="166"/>
      <c r="AL52" s="166"/>
      <c r="AM52" s="166"/>
      <c r="AQ52" s="110" t="s">
        <v>460</v>
      </c>
      <c r="AX52" s="253"/>
      <c r="AY52" s="253"/>
      <c r="AZ52" s="253"/>
      <c r="BA52" s="253"/>
      <c r="BB52" s="253"/>
    </row>
    <row r="53" spans="2:54" ht="10.5">
      <c r="B53" s="148"/>
      <c r="C53" s="148"/>
      <c r="D53" s="148"/>
      <c r="E53" s="148"/>
      <c r="F53" s="148"/>
      <c r="G53" s="148"/>
      <c r="H53" s="148"/>
      <c r="I53" s="148"/>
      <c r="J53" s="148"/>
      <c r="K53" s="148"/>
      <c r="L53" s="148"/>
      <c r="M53" s="148"/>
      <c r="N53" s="152"/>
      <c r="O53" s="152"/>
      <c r="P53" s="152"/>
      <c r="Q53" s="152"/>
      <c r="R53" s="152"/>
      <c r="S53" s="152"/>
      <c r="V53" s="166"/>
      <c r="W53" s="166"/>
      <c r="X53" s="166"/>
      <c r="Y53" s="166"/>
      <c r="Z53" s="166"/>
      <c r="AA53" s="166"/>
      <c r="AB53" s="166"/>
      <c r="AC53" s="166"/>
      <c r="AD53" s="166"/>
      <c r="AE53" s="166"/>
      <c r="AF53" s="166"/>
      <c r="AG53" s="166"/>
      <c r="AH53" s="166"/>
      <c r="AI53" s="166"/>
      <c r="AJ53" s="166"/>
      <c r="AK53" s="166"/>
      <c r="AL53" s="166"/>
      <c r="AM53" s="166"/>
      <c r="AQ53" s="6" t="s">
        <v>461</v>
      </c>
      <c r="AX53" s="97">
        <f ca="1">OFFSET($N$32,0,AU49-1)</f>
        <v>216.719948630137</v>
      </c>
      <c r="AY53" s="97"/>
      <c r="AZ53" s="163">
        <v>0</v>
      </c>
      <c r="BA53" s="165">
        <f>AX53</f>
        <v>216.719948630137</v>
      </c>
      <c r="BB53" s="97">
        <f>SUM(AZ53:BA53)</f>
        <v>216.719948630137</v>
      </c>
    </row>
    <row r="54" spans="2:54" ht="10.5">
      <c r="B54" s="151" t="s">
        <v>239</v>
      </c>
      <c r="C54" s="148"/>
      <c r="D54" s="148"/>
      <c r="E54" s="148"/>
      <c r="F54" s="148"/>
      <c r="G54" s="148"/>
      <c r="H54" s="148"/>
      <c r="I54" s="148"/>
      <c r="J54" s="148"/>
      <c r="K54" s="148"/>
      <c r="L54" s="148"/>
      <c r="M54" s="148"/>
      <c r="N54" s="152">
        <f>SUM(CFS_TO!J35:J36)</f>
        <v>-17.5</v>
      </c>
      <c r="O54" s="152">
        <f>SUM(CFS_TO!K35:K36)</f>
        <v>-17.9375</v>
      </c>
      <c r="P54" s="152">
        <f>SUM(CFS_TO!L35:L36)</f>
        <v>-18.385937499999997</v>
      </c>
      <c r="Q54" s="152">
        <f>SUM(CFS_TO!M35:M36)</f>
        <v>-18.845585937499994</v>
      </c>
      <c r="R54" s="152">
        <f>SUM(CFS_TO!N35:N36)</f>
        <v>-19.31672558593749</v>
      </c>
      <c r="S54" s="152">
        <f>SUM(CFS_TO!O35:O36)</f>
        <v>-19.799643725585927</v>
      </c>
      <c r="V54" s="166"/>
      <c r="W54" s="166"/>
      <c r="X54" s="166"/>
      <c r="Y54" s="166"/>
      <c r="Z54" s="166"/>
      <c r="AA54" s="166"/>
      <c r="AB54" s="166"/>
      <c r="AC54" s="166"/>
      <c r="AD54" s="166"/>
      <c r="AE54" s="166"/>
      <c r="AF54" s="166"/>
      <c r="AG54" s="166"/>
      <c r="AH54" s="166"/>
      <c r="AI54" s="166"/>
      <c r="AJ54" s="166"/>
      <c r="AK54" s="166"/>
      <c r="AL54" s="166"/>
      <c r="AM54" s="166"/>
      <c r="AQ54" s="6" t="s">
        <v>462</v>
      </c>
      <c r="AX54" s="99"/>
      <c r="AY54" s="99">
        <f ca="1">-OFFSET($N$36,0,AU49-1)</f>
        <v>-80.80119863013698</v>
      </c>
      <c r="AZ54" s="164">
        <f>BA53+IF(AY54&lt;0,AY54,0)</f>
        <v>135.91875000000002</v>
      </c>
      <c r="BA54" s="99">
        <f>ABS(AY54)</f>
        <v>80.80119863013698</v>
      </c>
      <c r="BB54" s="99">
        <f>SUM(AZ54:BA54)</f>
        <v>216.719948630137</v>
      </c>
    </row>
    <row r="55" spans="2:54" ht="10.5">
      <c r="B55" s="151" t="s">
        <v>511</v>
      </c>
      <c r="C55" s="148"/>
      <c r="D55" s="148"/>
      <c r="E55" s="148"/>
      <c r="F55" s="148"/>
      <c r="G55" s="148"/>
      <c r="H55" s="148"/>
      <c r="I55" s="148"/>
      <c r="J55" s="148"/>
      <c r="K55" s="148"/>
      <c r="L55" s="148"/>
      <c r="M55" s="148"/>
      <c r="N55" s="152">
        <f>SUM(CFS_TO!J37:J38)</f>
        <v>0</v>
      </c>
      <c r="O55" s="152">
        <f>SUM(CFS_TO!K37:K38)</f>
        <v>0</v>
      </c>
      <c r="P55" s="152">
        <f>SUM(CFS_TO!L37:L38)</f>
        <v>0</v>
      </c>
      <c r="Q55" s="152">
        <f>SUM(CFS_TO!M37:M38)</f>
        <v>0</v>
      </c>
      <c r="R55" s="152">
        <f>SUM(CFS_TO!N37:N38)</f>
        <v>0</v>
      </c>
      <c r="S55" s="152">
        <f>SUM(CFS_TO!O37:O38)</f>
        <v>0</v>
      </c>
      <c r="V55" s="166"/>
      <c r="W55" s="166"/>
      <c r="X55" s="166"/>
      <c r="Y55" s="166"/>
      <c r="Z55" s="166"/>
      <c r="AA55" s="166"/>
      <c r="AB55" s="166"/>
      <c r="AC55" s="166"/>
      <c r="AD55" s="166"/>
      <c r="AE55" s="166"/>
      <c r="AF55" s="166"/>
      <c r="AG55" s="166"/>
      <c r="AH55" s="166"/>
      <c r="AI55" s="166"/>
      <c r="AJ55" s="166"/>
      <c r="AK55" s="166"/>
      <c r="AL55" s="166"/>
      <c r="AM55" s="166"/>
      <c r="AQ55" s="110" t="s">
        <v>38</v>
      </c>
      <c r="AX55" s="100">
        <f>AX53+SUM(AY54:AY54)</f>
        <v>135.91875000000002</v>
      </c>
      <c r="AY55" s="100"/>
      <c r="AZ55" s="162">
        <v>0</v>
      </c>
      <c r="BA55" s="100">
        <f>SUM(AX53,AY54:AY54)</f>
        <v>135.91875000000002</v>
      </c>
      <c r="BB55" s="100">
        <f>SUM(AZ55:BA55)</f>
        <v>135.91875000000002</v>
      </c>
    </row>
    <row r="56" spans="2:39" ht="10.5">
      <c r="B56" s="155" t="s">
        <v>437</v>
      </c>
      <c r="C56" s="148"/>
      <c r="D56" s="148"/>
      <c r="E56" s="148"/>
      <c r="F56" s="148"/>
      <c r="G56" s="148"/>
      <c r="H56" s="148"/>
      <c r="I56" s="148"/>
      <c r="J56" s="148"/>
      <c r="K56" s="148"/>
      <c r="L56" s="148"/>
      <c r="M56" s="148"/>
      <c r="N56" s="156">
        <f aca="true" t="shared" si="11" ref="N56:S56">SUM(N54:N55)</f>
        <v>-17.5</v>
      </c>
      <c r="O56" s="156">
        <f t="shared" si="11"/>
        <v>-17.9375</v>
      </c>
      <c r="P56" s="156">
        <f t="shared" si="11"/>
        <v>-18.385937499999997</v>
      </c>
      <c r="Q56" s="156">
        <f t="shared" si="11"/>
        <v>-18.845585937499994</v>
      </c>
      <c r="R56" s="156">
        <f t="shared" si="11"/>
        <v>-19.31672558593749</v>
      </c>
      <c r="S56" s="156">
        <f t="shared" si="11"/>
        <v>-19.799643725585927</v>
      </c>
      <c r="V56" s="166"/>
      <c r="W56" s="166"/>
      <c r="X56" s="166"/>
      <c r="Y56" s="166"/>
      <c r="Z56" s="166"/>
      <c r="AA56" s="166"/>
      <c r="AB56" s="166"/>
      <c r="AC56" s="166"/>
      <c r="AD56" s="166"/>
      <c r="AE56" s="166"/>
      <c r="AF56" s="166"/>
      <c r="AG56" s="166"/>
      <c r="AH56" s="166"/>
      <c r="AI56" s="166"/>
      <c r="AJ56" s="166"/>
      <c r="AK56" s="166"/>
      <c r="AL56" s="166"/>
      <c r="AM56" s="166"/>
    </row>
    <row r="57" spans="2:39" ht="10.5">
      <c r="B57" s="148"/>
      <c r="C57" s="148"/>
      <c r="D57" s="148"/>
      <c r="E57" s="148"/>
      <c r="F57" s="148"/>
      <c r="G57" s="148"/>
      <c r="H57" s="148"/>
      <c r="I57" s="148"/>
      <c r="J57" s="148"/>
      <c r="K57" s="148"/>
      <c r="L57" s="148"/>
      <c r="M57" s="148"/>
      <c r="N57" s="152"/>
      <c r="O57" s="152"/>
      <c r="P57" s="152"/>
      <c r="Q57" s="152"/>
      <c r="R57" s="152"/>
      <c r="S57" s="152"/>
      <c r="V57" s="166"/>
      <c r="W57" s="166"/>
      <c r="X57" s="166"/>
      <c r="Y57" s="166"/>
      <c r="Z57" s="166"/>
      <c r="AA57" s="166"/>
      <c r="AB57" s="166"/>
      <c r="AC57" s="166"/>
      <c r="AD57" s="166"/>
      <c r="AE57" s="166"/>
      <c r="AF57" s="166"/>
      <c r="AG57" s="166"/>
      <c r="AH57" s="166"/>
      <c r="AI57" s="166"/>
      <c r="AJ57" s="166"/>
      <c r="AK57" s="166"/>
      <c r="AL57" s="166"/>
      <c r="AM57" s="166"/>
    </row>
    <row r="58" spans="2:39" ht="10.5">
      <c r="B58" s="151" t="s">
        <v>438</v>
      </c>
      <c r="C58" s="148"/>
      <c r="D58" s="148"/>
      <c r="E58" s="148"/>
      <c r="F58" s="148"/>
      <c r="G58" s="148"/>
      <c r="H58" s="148"/>
      <c r="I58" s="148"/>
      <c r="J58" s="148"/>
      <c r="K58" s="148"/>
      <c r="L58" s="148"/>
      <c r="M58" s="148"/>
      <c r="N58" s="152">
        <f>SUM(CFS_TO!J43:J44)</f>
        <v>0</v>
      </c>
      <c r="O58" s="152">
        <f>SUM(CFS_TO!K43:K44)</f>
        <v>0</v>
      </c>
      <c r="P58" s="152">
        <f>SUM(CFS_TO!L43:L44)</f>
        <v>0</v>
      </c>
      <c r="Q58" s="152">
        <f>SUM(CFS_TO!M43:M44)</f>
        <v>0</v>
      </c>
      <c r="R58" s="152">
        <f>SUM(CFS_TO!N43:N44)</f>
        <v>5</v>
      </c>
      <c r="S58" s="152">
        <f>SUM(CFS_TO!O43:O44)</f>
        <v>0</v>
      </c>
      <c r="V58" s="166"/>
      <c r="W58" s="166"/>
      <c r="X58" s="166"/>
      <c r="Y58" s="166"/>
      <c r="Z58" s="166"/>
      <c r="AA58" s="166"/>
      <c r="AB58" s="166"/>
      <c r="AC58" s="166"/>
      <c r="AD58" s="166"/>
      <c r="AE58" s="166"/>
      <c r="AF58" s="166"/>
      <c r="AG58" s="166"/>
      <c r="AH58" s="166"/>
      <c r="AI58" s="166"/>
      <c r="AJ58" s="166"/>
      <c r="AK58" s="166"/>
      <c r="AL58" s="166"/>
      <c r="AM58" s="166"/>
    </row>
    <row r="59" spans="2:39" ht="10.5">
      <c r="B59" s="151" t="s">
        <v>439</v>
      </c>
      <c r="C59" s="148"/>
      <c r="D59" s="148"/>
      <c r="E59" s="148"/>
      <c r="F59" s="148"/>
      <c r="G59" s="148"/>
      <c r="H59" s="148"/>
      <c r="I59" s="148"/>
      <c r="J59" s="148"/>
      <c r="K59" s="148"/>
      <c r="L59" s="148"/>
      <c r="M59" s="148"/>
      <c r="N59" s="152">
        <f>SUM(CFS_TO!J45:J46)</f>
        <v>0</v>
      </c>
      <c r="O59" s="152">
        <f>SUM(CFS_TO!K45:K46)</f>
        <v>0</v>
      </c>
      <c r="P59" s="152">
        <f>SUM(CFS_TO!L45:L46)</f>
        <v>0</v>
      </c>
      <c r="Q59" s="152">
        <f>SUM(CFS_TO!M45:M46)</f>
        <v>0</v>
      </c>
      <c r="R59" s="152">
        <f>SUM(CFS_TO!N45:N46)</f>
        <v>0</v>
      </c>
      <c r="S59" s="152">
        <f>SUM(CFS_TO!O45:O46)</f>
        <v>0</v>
      </c>
      <c r="V59" s="166"/>
      <c r="W59" s="166"/>
      <c r="X59" s="166"/>
      <c r="Y59" s="166"/>
      <c r="Z59" s="166"/>
      <c r="AA59" s="166"/>
      <c r="AB59" s="166"/>
      <c r="AC59" s="166"/>
      <c r="AD59" s="166"/>
      <c r="AE59" s="166"/>
      <c r="AF59" s="166"/>
      <c r="AG59" s="166"/>
      <c r="AH59" s="166"/>
      <c r="AI59" s="166"/>
      <c r="AJ59" s="166"/>
      <c r="AK59" s="166"/>
      <c r="AL59" s="166"/>
      <c r="AM59" s="166"/>
    </row>
    <row r="60" spans="2:39" ht="10.5">
      <c r="B60" s="151" t="s">
        <v>440</v>
      </c>
      <c r="C60" s="148"/>
      <c r="D60" s="148"/>
      <c r="E60" s="148"/>
      <c r="F60" s="148"/>
      <c r="G60" s="148"/>
      <c r="H60" s="148"/>
      <c r="I60" s="148"/>
      <c r="J60" s="148"/>
      <c r="K60" s="148"/>
      <c r="L60" s="148"/>
      <c r="M60" s="148"/>
      <c r="N60" s="152">
        <f>CFS_TO!J47</f>
        <v>-14.91875</v>
      </c>
      <c r="O60" s="152">
        <f>CFS_TO!K47</f>
        <v>-15.32015625</v>
      </c>
      <c r="P60" s="152">
        <f>CFS_TO!L47</f>
        <v>-15.731597656250003</v>
      </c>
      <c r="Q60" s="152">
        <f>CFS_TO!M47</f>
        <v>-16.153325097656253</v>
      </c>
      <c r="R60" s="152">
        <f>CFS_TO!N47</f>
        <v>-16.528720725097664</v>
      </c>
      <c r="S60" s="152">
        <f>CFS_TO!O47</f>
        <v>-16.9149231182251</v>
      </c>
      <c r="V60" s="166"/>
      <c r="W60" s="166"/>
      <c r="X60" s="166"/>
      <c r="Y60" s="166"/>
      <c r="Z60" s="166"/>
      <c r="AA60" s="166"/>
      <c r="AB60" s="166"/>
      <c r="AC60" s="166"/>
      <c r="AD60" s="166"/>
      <c r="AE60" s="166"/>
      <c r="AF60" s="166"/>
      <c r="AG60" s="166"/>
      <c r="AH60" s="166"/>
      <c r="AI60" s="166"/>
      <c r="AJ60" s="166"/>
      <c r="AK60" s="166"/>
      <c r="AL60" s="166"/>
      <c r="AM60" s="166"/>
    </row>
    <row r="61" spans="2:39" ht="10.5">
      <c r="B61" s="155" t="s">
        <v>441</v>
      </c>
      <c r="C61" s="148"/>
      <c r="D61" s="148"/>
      <c r="E61" s="148"/>
      <c r="F61" s="148"/>
      <c r="G61" s="148"/>
      <c r="H61" s="148"/>
      <c r="I61" s="148"/>
      <c r="J61" s="148"/>
      <c r="K61" s="148"/>
      <c r="L61" s="148"/>
      <c r="M61" s="148"/>
      <c r="N61" s="156">
        <f aca="true" t="shared" si="12" ref="N61:S61">SUM(N58:N60)</f>
        <v>-14.91875</v>
      </c>
      <c r="O61" s="156">
        <f t="shared" si="12"/>
        <v>-15.32015625</v>
      </c>
      <c r="P61" s="156">
        <f t="shared" si="12"/>
        <v>-15.731597656250003</v>
      </c>
      <c r="Q61" s="156">
        <f t="shared" si="12"/>
        <v>-16.153325097656253</v>
      </c>
      <c r="R61" s="156">
        <f t="shared" si="12"/>
        <v>-11.528720725097664</v>
      </c>
      <c r="S61" s="156">
        <f t="shared" si="12"/>
        <v>-16.9149231182251</v>
      </c>
      <c r="V61" s="166"/>
      <c r="W61" s="166"/>
      <c r="X61" s="166"/>
      <c r="Y61" s="166"/>
      <c r="Z61" s="166"/>
      <c r="AA61" s="166"/>
      <c r="AB61" s="166"/>
      <c r="AC61" s="166"/>
      <c r="AD61" s="166"/>
      <c r="AE61" s="166"/>
      <c r="AF61" s="166"/>
      <c r="AG61" s="166"/>
      <c r="AH61" s="166"/>
      <c r="AI61" s="166"/>
      <c r="AJ61" s="166"/>
      <c r="AK61" s="166"/>
      <c r="AL61" s="166"/>
      <c r="AM61" s="166"/>
    </row>
    <row r="62" spans="2:39" ht="10.5">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39" ht="11.25" thickBot="1">
      <c r="B63" s="155" t="s">
        <v>443</v>
      </c>
      <c r="C63" s="148"/>
      <c r="D63" s="148"/>
      <c r="E63" s="148"/>
      <c r="F63" s="148"/>
      <c r="G63" s="148"/>
      <c r="H63" s="148"/>
      <c r="I63" s="148"/>
      <c r="J63" s="148"/>
      <c r="K63" s="148"/>
      <c r="L63" s="148"/>
      <c r="M63" s="148"/>
      <c r="N63" s="154">
        <f aca="true" t="shared" si="13" ref="N63:S63">N52+N56+N61</f>
        <v>23.57097602739727</v>
      </c>
      <c r="O63" s="154">
        <f t="shared" si="13"/>
        <v>11.148336900684914</v>
      </c>
      <c r="P63" s="154">
        <f t="shared" si="13"/>
        <v>12.486971075503874</v>
      </c>
      <c r="Q63" s="154">
        <f t="shared" si="13"/>
        <v>12.814444141480315</v>
      </c>
      <c r="R63" s="154">
        <f t="shared" si="13"/>
        <v>18.06426820362666</v>
      </c>
      <c r="S63" s="154">
        <f t="shared" si="13"/>
        <v>13.365078033717339</v>
      </c>
      <c r="V63" s="166"/>
      <c r="W63" s="166"/>
      <c r="X63" s="166"/>
      <c r="Y63" s="166"/>
      <c r="Z63" s="166"/>
      <c r="AA63" s="166"/>
      <c r="AB63" s="166"/>
      <c r="AC63" s="166"/>
      <c r="AD63" s="166"/>
      <c r="AE63" s="166"/>
      <c r="AF63" s="166"/>
      <c r="AG63" s="166"/>
      <c r="AH63" s="166"/>
      <c r="AI63" s="166"/>
      <c r="AJ63" s="166"/>
      <c r="AK63" s="166"/>
      <c r="AL63" s="166"/>
      <c r="AM63" s="166"/>
    </row>
    <row r="64" ht="11.25" thickTop="1"/>
  </sheetData>
  <sheetProtection/>
  <mergeCells count="17">
    <mergeCell ref="BB51:BB52"/>
    <mergeCell ref="AY51:AY52"/>
    <mergeCell ref="AX51:AX52"/>
    <mergeCell ref="B4:C4"/>
    <mergeCell ref="D4:E4"/>
    <mergeCell ref="F4:G4"/>
    <mergeCell ref="H4:I4"/>
    <mergeCell ref="J4:K4"/>
    <mergeCell ref="V7:AM7"/>
    <mergeCell ref="B26:S26"/>
    <mergeCell ref="B3:K3"/>
    <mergeCell ref="AZ51:AZ52"/>
    <mergeCell ref="BA51:BA52"/>
    <mergeCell ref="V27:AM27"/>
    <mergeCell ref="B45:S45"/>
    <mergeCell ref="V46:AM46"/>
    <mergeCell ref="B7:S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202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543</v>
      </c>
    </row>
    <row r="19" ht="10.5">
      <c r="C19" s="24"/>
    </row>
    <row r="20" ht="10.5">
      <c r="C20" s="24"/>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532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544</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5" ht="10.5"/>
    <row r="7" ht="12.75">
      <c r="B7" s="30" t="s">
        <v>227</v>
      </c>
    </row>
    <row r="9" ht="17.25" customHeight="1">
      <c r="C9" s="69" t="b">
        <v>1</v>
      </c>
    </row>
    <row r="11" ht="11.25">
      <c r="C11" s="31" t="s">
        <v>228</v>
      </c>
    </row>
    <row r="13" spans="4:9" ht="10.5">
      <c r="D13" s="74" t="str">
        <f>D30</f>
        <v>Total Errors:</v>
      </c>
      <c r="I13" s="76">
        <f>Err_Chks_Ttl_Areas</f>
        <v>2</v>
      </c>
    </row>
    <row r="14" spans="4:9" ht="10.5">
      <c r="D14" s="77" t="s">
        <v>231</v>
      </c>
      <c r="I14" s="78" t="str">
        <f>IF(OR(NOT(CB_Err_Chks_Show_Msg),Err_Chks_Ttl_Areas=0),"",IF(Err_Chks_Ttl_Areas=1," (Error in "&amp;INDEX(CA_Err_Chks_Area_Names,MATCH(1,CA_Err_Chks_Flags,0))&amp;")"," ("&amp;TEXT(Err_Chks_Ttl_Areas,"#,##0")&amp;" Errors Detected)"))</f>
        <v> (2 Errors Detected)</v>
      </c>
    </row>
    <row r="16" ht="11.25">
      <c r="C16" s="31" t="s">
        <v>227</v>
      </c>
    </row>
    <row r="18" spans="4:13" ht="10.5">
      <c r="D18" s="70" t="s">
        <v>227</v>
      </c>
      <c r="E18" s="16"/>
      <c r="F18" s="16"/>
      <c r="G18" s="16"/>
      <c r="H18" s="16"/>
      <c r="I18" s="16"/>
      <c r="J18" s="16"/>
      <c r="K18" s="71" t="s">
        <v>229</v>
      </c>
      <c r="L18" s="71" t="s">
        <v>230</v>
      </c>
      <c r="M18" s="71" t="s">
        <v>389</v>
      </c>
    </row>
    <row r="19" spans="4:13" ht="10.5">
      <c r="D19" s="79"/>
      <c r="E19" s="19"/>
      <c r="F19" s="19"/>
      <c r="G19" s="19"/>
      <c r="H19" s="19"/>
      <c r="I19" s="19"/>
      <c r="J19" s="19"/>
      <c r="K19" s="80"/>
      <c r="L19" s="80"/>
      <c r="M19" s="80"/>
    </row>
    <row r="20" spans="4:13" ht="10.5">
      <c r="D20" s="9" t="str">
        <f>IF(ISERROR(Err_Chk_1_Hdg),"Miscellaneous Check",Err_Chk_1_Hdg)</f>
        <v>Working Capital - Assumptions</v>
      </c>
      <c r="E20" s="8"/>
      <c r="F20" s="8"/>
      <c r="G20" s="8"/>
      <c r="H20" s="8"/>
      <c r="I20" s="8"/>
      <c r="J20" s="8"/>
      <c r="K20" s="75">
        <f>IF(ISERROR(HL_Err_Chk_1),1,(HL_Err_Chk_1&lt;&gt;0)*1)</f>
        <v>0</v>
      </c>
      <c r="L20" s="68" t="s">
        <v>87</v>
      </c>
      <c r="M20" s="72">
        <f aca="true" t="shared" si="0" ref="M20:M28">K20*(L20="Yes")</f>
        <v>0</v>
      </c>
    </row>
    <row r="21" spans="4:13" ht="10.5">
      <c r="D21" s="9" t="str">
        <f>IF(ISERROR(Err_Chk_2_Hdg),"Miscellaneous Check",Err_Chk_2_Hdg)</f>
        <v>Accounts Receivable Balances ($Millions)</v>
      </c>
      <c r="E21" s="8"/>
      <c r="F21" s="8"/>
      <c r="G21" s="8"/>
      <c r="H21" s="8"/>
      <c r="I21" s="8"/>
      <c r="J21" s="8"/>
      <c r="K21" s="75">
        <f>IF(ISERROR(HL_Err_Chk_2),1,(HL_Err_Chk_2&lt;&gt;0)*1)</f>
        <v>1</v>
      </c>
      <c r="L21" s="68" t="s">
        <v>87</v>
      </c>
      <c r="M21" s="72">
        <f t="shared" si="0"/>
        <v>1</v>
      </c>
    </row>
    <row r="22" spans="4:13" ht="10.5">
      <c r="D22" s="9" t="str">
        <f>IF(ISERROR(Err_Chk_3_Hdg),"Miscellaneous Check",Err_Chk_3_Hdg)</f>
        <v>Accounts Payable Balances ($Millions)</v>
      </c>
      <c r="E22" s="8"/>
      <c r="F22" s="8"/>
      <c r="G22" s="8"/>
      <c r="H22" s="8"/>
      <c r="I22" s="8"/>
      <c r="J22" s="8"/>
      <c r="K22" s="75">
        <f>IF(ISERROR(HL_Err_Chk_3),1,(HL_Err_Chk_3&lt;&gt;0)*1)</f>
        <v>0</v>
      </c>
      <c r="L22" s="68" t="s">
        <v>87</v>
      </c>
      <c r="M22" s="72">
        <f t="shared" si="0"/>
        <v>0</v>
      </c>
    </row>
    <row r="23" spans="4:13" ht="10.5">
      <c r="D23" s="9" t="str">
        <f>IF(ISERROR(Err_Chk_4_Hdg),"Miscellaneous Check",Err_Chk_4_Hdg)</f>
        <v>Assets Balances ($Millions)</v>
      </c>
      <c r="E23" s="8"/>
      <c r="F23" s="8"/>
      <c r="G23" s="8"/>
      <c r="H23" s="8"/>
      <c r="I23" s="8"/>
      <c r="J23" s="8"/>
      <c r="K23" s="75">
        <f>IF(ISERROR(HL_Err_Chk_4),1,(HL_Err_Chk_4&lt;&gt;0)*1)</f>
        <v>0</v>
      </c>
      <c r="L23" s="68" t="s">
        <v>87</v>
      </c>
      <c r="M23" s="72">
        <f t="shared" si="0"/>
        <v>0</v>
      </c>
    </row>
    <row r="24" spans="4:13" ht="10.5">
      <c r="D24" s="9" t="str">
        <f>IF(ISERROR(Err_Chk_5_Hdg),"Miscellaneous Check",Err_Chk_5_Hdg)</f>
        <v>Intangibles Balances ($Millions)</v>
      </c>
      <c r="E24" s="8"/>
      <c r="F24" s="8"/>
      <c r="G24" s="8"/>
      <c r="H24" s="8"/>
      <c r="I24" s="8"/>
      <c r="J24" s="8"/>
      <c r="K24" s="75">
        <f>IF(ISERROR(HL_Err_Chk_5),1,(HL_Err_Chk_5&lt;&gt;0)*1)</f>
        <v>0</v>
      </c>
      <c r="L24" s="68" t="s">
        <v>87</v>
      </c>
      <c r="M24" s="72">
        <f t="shared" si="0"/>
        <v>0</v>
      </c>
    </row>
    <row r="25" spans="4:13" ht="10.5">
      <c r="D25" s="9" t="str">
        <f>IF(ISERROR(Err_Chk_15_Hdg),"Miscellaneous Check",Err_Chk_15_Hdg)</f>
        <v>Ordinary Equity - Outputs</v>
      </c>
      <c r="E25" s="8"/>
      <c r="F25" s="8"/>
      <c r="G25" s="8"/>
      <c r="H25" s="8"/>
      <c r="I25" s="8"/>
      <c r="J25" s="8"/>
      <c r="K25" s="75">
        <f>IF(ISERROR(HL_Err_Chk_15),1,(HL_Err_Chk_15&lt;&gt;0)*1)</f>
        <v>0</v>
      </c>
      <c r="L25" s="68" t="s">
        <v>87</v>
      </c>
      <c r="M25" s="72">
        <f t="shared" si="0"/>
        <v>0</v>
      </c>
    </row>
    <row r="26" spans="4:13" ht="10.5">
      <c r="D26" s="9" t="str">
        <f>IF(ISERROR(Err_Chk_11_Hdg),"Miscellaneous Check",Err_Chk_11_Hdg)</f>
        <v>Income Statement</v>
      </c>
      <c r="E26" s="8"/>
      <c r="F26" s="8"/>
      <c r="G26" s="8"/>
      <c r="H26" s="8"/>
      <c r="I26" s="8"/>
      <c r="J26" s="8"/>
      <c r="K26" s="75">
        <f>IF(ISERROR(HL_Err_Chk_11),1,(HL_Err_Chk_11&lt;&gt;0)*1)</f>
        <v>0</v>
      </c>
      <c r="L26" s="68" t="s">
        <v>87</v>
      </c>
      <c r="M26" s="72">
        <f t="shared" si="0"/>
        <v>0</v>
      </c>
    </row>
    <row r="27" spans="4:13" ht="10.5">
      <c r="D27" s="9" t="str">
        <f>IF(ISERROR(Err_Chk_13_Hdg),"Miscellaneous Check",Err_Chk_13_Hdg)</f>
        <v>Balance Sheet</v>
      </c>
      <c r="E27" s="8"/>
      <c r="F27" s="8"/>
      <c r="G27" s="8"/>
      <c r="H27" s="8"/>
      <c r="I27" s="8"/>
      <c r="J27" s="8"/>
      <c r="K27" s="75">
        <f>IF(ISERROR(HL_Err_Chk_13),1,(HL_Err_Chk_13&lt;&gt;0)*1)</f>
        <v>1</v>
      </c>
      <c r="L27" s="68" t="s">
        <v>87</v>
      </c>
      <c r="M27" s="72">
        <f t="shared" si="0"/>
        <v>1</v>
      </c>
    </row>
    <row r="28" spans="4:13" ht="10.5">
      <c r="D28" s="9" t="str">
        <f>IF(ISERROR(Err_Chk_14_Hdg),"Miscellaneous Check",Err_Chk_14_Hdg)</f>
        <v>Cash Flow Statement</v>
      </c>
      <c r="E28" s="8"/>
      <c r="F28" s="8"/>
      <c r="G28" s="8"/>
      <c r="H28" s="8"/>
      <c r="I28" s="8"/>
      <c r="J28" s="8"/>
      <c r="K28" s="75">
        <f>IF(ISERROR(HL_Err_Chk_14),1,(HL_Err_Chk_14&lt;&gt;0)*1)</f>
        <v>0</v>
      </c>
      <c r="L28" s="68" t="s">
        <v>87</v>
      </c>
      <c r="M28" s="72">
        <f t="shared" si="0"/>
        <v>0</v>
      </c>
    </row>
    <row r="30" spans="4:13" ht="10.5">
      <c r="D30" s="23" t="s">
        <v>390</v>
      </c>
      <c r="M30" s="73">
        <f>SUMIF(CA_Err_Chks_Inc,"Yes",CA_Err_Chks_Flags)</f>
        <v>2</v>
      </c>
    </row>
    <row r="33" ht="12.75">
      <c r="B33" s="30" t="s">
        <v>232</v>
      </c>
    </row>
    <row r="35" ht="17.25" customHeight="1">
      <c r="C35" s="69" t="b">
        <v>1</v>
      </c>
    </row>
    <row r="37" ht="11.25">
      <c r="C37" s="31" t="s">
        <v>233</v>
      </c>
    </row>
    <row r="39" spans="4:9" ht="10.5">
      <c r="D39" s="74" t="str">
        <f>D46</f>
        <v>Total Sensitivities:</v>
      </c>
      <c r="I39" s="76">
        <f>Sens_Chks_Ttl_Areas</f>
        <v>0</v>
      </c>
    </row>
    <row r="40" spans="4:9" ht="10.5">
      <c r="D40" s="77" t="s">
        <v>234</v>
      </c>
      <c r="I40" s="78">
        <f>IF(OR(NOT(CB_Sens_Chks_Show_Msg),Sens_Chks_Ttl_Areas=0),"",IF(Sens_Chks_Ttl_Areas=1," (Sensitivity in "&amp;INDEX(CA_Sens_Chks_Area_Names,MATCH(1,CA_Sens_Chks_Flags,0))&amp;")"," ("&amp;TEXT(Sens_Chks_Ttl_Areas,"#,##0")&amp;" Sensitivities Detected)"))</f>
      </c>
    </row>
    <row r="42" ht="11.25">
      <c r="C42" s="31" t="s">
        <v>232</v>
      </c>
    </row>
    <row r="44" spans="4:13" ht="10.5">
      <c r="D44" s="70" t="s">
        <v>232</v>
      </c>
      <c r="E44" s="16"/>
      <c r="F44" s="16"/>
      <c r="G44" s="16"/>
      <c r="H44" s="16"/>
      <c r="I44" s="16"/>
      <c r="J44" s="16"/>
      <c r="K44" s="71" t="s">
        <v>229</v>
      </c>
      <c r="L44" s="71" t="s">
        <v>230</v>
      </c>
      <c r="M44" s="71" t="s">
        <v>389</v>
      </c>
    </row>
    <row r="46" spans="4:13" ht="10.5">
      <c r="D46" s="23" t="s">
        <v>391</v>
      </c>
      <c r="M46" s="73">
        <f>SUMIF(CA_Sens_Chks_Inc,"Yes",CA_Sens_Chks_Flags)</f>
        <v>0</v>
      </c>
    </row>
    <row r="49" ht="12.75">
      <c r="B49" s="30" t="s">
        <v>235</v>
      </c>
    </row>
    <row r="51" ht="17.25" customHeight="1">
      <c r="C51" s="69" t="b">
        <v>1</v>
      </c>
    </row>
    <row r="53" ht="11.25">
      <c r="C53" s="31" t="s">
        <v>236</v>
      </c>
    </row>
    <row r="55" spans="4:9" ht="10.5">
      <c r="D55" s="74" t="str">
        <f>D65</f>
        <v>Total Alerts:</v>
      </c>
      <c r="I55" s="76">
        <f>Alt_Chks_Ttl_Areas</f>
        <v>0</v>
      </c>
    </row>
    <row r="56" spans="4:9" ht="10.5">
      <c r="D56" s="77" t="s">
        <v>237</v>
      </c>
      <c r="I56" s="78">
        <f>IF(OR(NOT(CB_Alt_Chks_Show_Msg),Alt_Chks_Ttl_Areas=0),"",IF(Alt_Chks_Ttl_Areas=1," (Alert in "&amp;INDEX(CA_Alt_Chks_Area_Names,MATCH(1,CA_Alt_Chks_Flags,0))&amp;")"," ("&amp;TEXT(Alt_Chks_Ttl_Areas,"#,##0")&amp;" Alerts Detected)"))</f>
      </c>
    </row>
    <row r="58" ht="11.25">
      <c r="C58" s="31" t="s">
        <v>235</v>
      </c>
    </row>
    <row r="60" spans="4:13" ht="10.5">
      <c r="D60" s="70" t="s">
        <v>235</v>
      </c>
      <c r="E60" s="16"/>
      <c r="F60" s="16"/>
      <c r="G60" s="16"/>
      <c r="H60" s="16"/>
      <c r="I60" s="16"/>
      <c r="J60" s="16"/>
      <c r="K60" s="71" t="s">
        <v>229</v>
      </c>
      <c r="L60" s="71" t="s">
        <v>230</v>
      </c>
      <c r="M60" s="71" t="s">
        <v>389</v>
      </c>
    </row>
    <row r="61" spans="4:13" ht="10.5">
      <c r="D61" s="79"/>
      <c r="E61" s="19"/>
      <c r="F61" s="19"/>
      <c r="G61" s="19"/>
      <c r="H61" s="19"/>
      <c r="I61" s="19"/>
      <c r="J61" s="19"/>
      <c r="K61" s="80"/>
      <c r="L61" s="80"/>
      <c r="M61" s="80"/>
    </row>
    <row r="62" spans="4:13" ht="10.5">
      <c r="D62" s="9" t="str">
        <f>IF(ISERROR(Alt_Chk_15_Hdg),"Miscellaneous Check",Alt_Chk_15_Hdg)</f>
        <v>Ordinary Equity - Outputs</v>
      </c>
      <c r="E62" s="8"/>
      <c r="F62" s="8"/>
      <c r="G62" s="8"/>
      <c r="H62" s="8"/>
      <c r="I62" s="8"/>
      <c r="J62" s="8"/>
      <c r="K62" s="75">
        <f>IF(ISERROR(HL_Alt_Chk_15),1,(HL_Alt_Chk_15&lt;&gt;0)*1)</f>
        <v>0</v>
      </c>
      <c r="L62" s="68" t="s">
        <v>87</v>
      </c>
      <c r="M62" s="72">
        <f>K62*(L62="Yes")</f>
        <v>0</v>
      </c>
    </row>
    <row r="63" spans="4:13" ht="10.5">
      <c r="D63" s="9" t="str">
        <f>IF(ISERROR(Alt_Chk_14_Hdg),"Miscellaneous Check",Alt_Chk_14_Hdg)</f>
        <v>Balance Sheet</v>
      </c>
      <c r="E63" s="8"/>
      <c r="F63" s="8"/>
      <c r="G63" s="8"/>
      <c r="H63" s="8"/>
      <c r="I63" s="8"/>
      <c r="J63" s="8"/>
      <c r="K63" s="75">
        <f>IF(ISERROR(HL_Alt_Chk_14),1,(HL_Alt_Chk_14&lt;&gt;0)*1)</f>
        <v>0</v>
      </c>
      <c r="L63" s="68" t="s">
        <v>87</v>
      </c>
      <c r="M63" s="72">
        <f>K63*(L63="Yes")</f>
        <v>0</v>
      </c>
    </row>
    <row r="65" spans="4:13" ht="10.5">
      <c r="D65" s="23" t="s">
        <v>392</v>
      </c>
      <c r="M65" s="73">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4"/>
  <headerFooter alignWithMargins="0">
    <oddFooter>&amp;L&amp;F
&amp;A
Printed: &amp;T on &amp;D&amp;CPage &amp;P of &amp;N&amp;R&amp;G</oddFooter>
  </headerFooter>
  <rowBreaks count="2" manualBreakCount="2">
    <brk id="32" min="1" max="12" man="1"/>
    <brk id="48" min="1" max="12" man="1"/>
  </rowBreaks>
  <legacyDrawing r:id="rId2"/>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5" t="s">
        <v>534</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395</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6.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11. Checks - Best Practice Model Example (2 Errors Detected)</v>
      </c>
    </row>
    <row r="3" spans="2:4" ht="10.5">
      <c r="B3" s="205" t="s">
        <v>49</v>
      </c>
      <c r="C3" s="205"/>
      <c r="D3" s="205"/>
    </row>
    <row r="4" spans="1:3" ht="12.75">
      <c r="A4" s="10" t="s">
        <v>52</v>
      </c>
      <c r="B4" s="11" t="s">
        <v>54</v>
      </c>
      <c r="C4" s="12" t="s">
        <v>103</v>
      </c>
    </row>
    <row r="5" ht="10.5"/>
    <row r="7" ht="12.75">
      <c r="B7" s="30" t="s">
        <v>333</v>
      </c>
    </row>
    <row r="9" spans="3:6" ht="11.25">
      <c r="C9" s="31" t="s">
        <v>334</v>
      </c>
      <c r="F9" s="31" t="s">
        <v>332</v>
      </c>
    </row>
    <row r="11" spans="4:6" ht="10.5">
      <c r="D11" s="35" t="s">
        <v>334</v>
      </c>
      <c r="F11" s="24" t="s">
        <v>335</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336</v>
      </c>
      <c r="F44" s="31" t="s">
        <v>332</v>
      </c>
    </row>
    <row r="46" spans="4:6" ht="10.5">
      <c r="D46" s="35" t="s">
        <v>336</v>
      </c>
      <c r="F46" s="24" t="s">
        <v>337</v>
      </c>
    </row>
    <row r="47" ht="10.5">
      <c r="D47" s="36" t="s">
        <v>57</v>
      </c>
    </row>
    <row r="48" ht="10.5">
      <c r="D48" s="36" t="s">
        <v>58</v>
      </c>
    </row>
    <row r="49" ht="10.5">
      <c r="D49" s="36" t="s">
        <v>59</v>
      </c>
    </row>
    <row r="50" ht="10.5">
      <c r="D50" s="36" t="s">
        <v>60</v>
      </c>
    </row>
    <row r="51" ht="10.5">
      <c r="D51" s="36" t="s">
        <v>61</v>
      </c>
    </row>
    <row r="52" ht="10.5">
      <c r="D52" s="36" t="s">
        <v>62</v>
      </c>
    </row>
    <row r="53" ht="10.5">
      <c r="D53" s="36" t="s">
        <v>63</v>
      </c>
    </row>
    <row r="54" ht="10.5">
      <c r="D54" s="36" t="s">
        <v>64</v>
      </c>
    </row>
    <row r="55" ht="10.5">
      <c r="D55" s="36" t="s">
        <v>65</v>
      </c>
    </row>
    <row r="56" ht="10.5">
      <c r="D56" s="36" t="s">
        <v>66</v>
      </c>
    </row>
    <row r="57" ht="10.5">
      <c r="D57" s="36" t="s">
        <v>67</v>
      </c>
    </row>
    <row r="58" ht="10.5">
      <c r="D58" s="36" t="s">
        <v>68</v>
      </c>
    </row>
    <row r="60" spans="3:6" ht="11.25">
      <c r="C60" s="31" t="s">
        <v>88</v>
      </c>
      <c r="F60" s="31" t="s">
        <v>332</v>
      </c>
    </row>
    <row r="62" spans="4:6" ht="10.5">
      <c r="D62" s="35" t="s">
        <v>88</v>
      </c>
      <c r="F62" s="24" t="s">
        <v>89</v>
      </c>
    </row>
    <row r="63" spans="4:6" ht="10.5">
      <c r="D63" s="36" t="s">
        <v>90</v>
      </c>
      <c r="F63" s="24" t="s">
        <v>91</v>
      </c>
    </row>
    <row r="64" spans="4:6" ht="10.5">
      <c r="D64" s="36" t="s">
        <v>92</v>
      </c>
      <c r="F64" s="24" t="s">
        <v>93</v>
      </c>
    </row>
    <row r="65" spans="4:6" ht="10.5">
      <c r="D65" s="36" t="s">
        <v>94</v>
      </c>
      <c r="F65" s="24" t="s">
        <v>95</v>
      </c>
    </row>
    <row r="66" spans="4:6" ht="10.5">
      <c r="D66" s="36" t="s">
        <v>96</v>
      </c>
      <c r="F66" s="24" t="s">
        <v>97</v>
      </c>
    </row>
    <row r="68" spans="3:6" ht="11.25">
      <c r="C68" s="31" t="s">
        <v>338</v>
      </c>
      <c r="F68" s="31" t="s">
        <v>332</v>
      </c>
    </row>
    <row r="70" spans="4:6" ht="10.5">
      <c r="D70" s="35" t="s">
        <v>338</v>
      </c>
      <c r="F70" s="24" t="s">
        <v>339</v>
      </c>
    </row>
    <row r="71" ht="10.5">
      <c r="D71" s="36" t="s">
        <v>340</v>
      </c>
    </row>
    <row r="72" ht="10.5">
      <c r="D72" s="36" t="s">
        <v>341</v>
      </c>
    </row>
    <row r="74" spans="3:6" ht="11.25">
      <c r="C74" s="31" t="s">
        <v>342</v>
      </c>
      <c r="F74" s="31" t="s">
        <v>332</v>
      </c>
    </row>
    <row r="76" spans="4:6" ht="10.5">
      <c r="D76" s="35" t="s">
        <v>342</v>
      </c>
      <c r="F76" s="24" t="s">
        <v>343</v>
      </c>
    </row>
    <row r="77" spans="4:6" ht="10.5">
      <c r="D77" s="36" t="s">
        <v>71</v>
      </c>
      <c r="F77" s="24" t="s">
        <v>71</v>
      </c>
    </row>
    <row r="78" spans="4:6" ht="10.5">
      <c r="D78" s="36" t="s">
        <v>72</v>
      </c>
      <c r="F78" s="24" t="s">
        <v>344</v>
      </c>
    </row>
    <row r="79" spans="4:6" ht="10.5">
      <c r="D79" s="36" t="s">
        <v>73</v>
      </c>
      <c r="F79" s="24" t="s">
        <v>74</v>
      </c>
    </row>
    <row r="80" spans="4:6" ht="10.5">
      <c r="D80" s="36" t="s">
        <v>75</v>
      </c>
      <c r="F80" s="24" t="s">
        <v>76</v>
      </c>
    </row>
    <row r="82" spans="3:6" ht="11.25">
      <c r="C82" s="31" t="s">
        <v>345</v>
      </c>
      <c r="F82" s="31" t="s">
        <v>332</v>
      </c>
    </row>
    <row r="84" spans="4:6" ht="10.5">
      <c r="D84" s="35" t="s">
        <v>345</v>
      </c>
      <c r="F84" s="24" t="s">
        <v>346</v>
      </c>
    </row>
    <row r="85" spans="4:6" ht="10.5">
      <c r="D85" s="36" t="s">
        <v>77</v>
      </c>
      <c r="F85" s="24" t="s">
        <v>78</v>
      </c>
    </row>
    <row r="86" spans="4:6" ht="10.5">
      <c r="D86" s="36" t="s">
        <v>70</v>
      </c>
      <c r="F86" s="24" t="s">
        <v>79</v>
      </c>
    </row>
    <row r="87" spans="4:6" ht="10.5">
      <c r="D87" s="36" t="s">
        <v>69</v>
      </c>
      <c r="F87" s="24" t="s">
        <v>80</v>
      </c>
    </row>
    <row r="88" spans="4:6" ht="10.5">
      <c r="D88" s="36" t="s">
        <v>56</v>
      </c>
      <c r="F88" s="24" t="s">
        <v>81</v>
      </c>
    </row>
    <row r="90" spans="3:6" ht="11.25">
      <c r="C90" s="31" t="s">
        <v>347</v>
      </c>
      <c r="F90" s="31" t="s">
        <v>332</v>
      </c>
    </row>
    <row r="92" spans="4:6" ht="10.5">
      <c r="D92" s="35" t="s">
        <v>347</v>
      </c>
      <c r="F92" s="24" t="s">
        <v>82</v>
      </c>
    </row>
    <row r="93" spans="4:6" ht="10.5">
      <c r="D93" s="37">
        <v>1</v>
      </c>
      <c r="F93" s="24" t="s">
        <v>83</v>
      </c>
    </row>
    <row r="94" spans="4:6" ht="10.5">
      <c r="D94" s="37">
        <v>2</v>
      </c>
      <c r="F94" s="24" t="s">
        <v>84</v>
      </c>
    </row>
    <row r="95" spans="4:6" ht="10.5">
      <c r="D95" s="37">
        <v>4</v>
      </c>
      <c r="F95" s="24" t="s">
        <v>85</v>
      </c>
    </row>
    <row r="96" spans="4:6" ht="10.5">
      <c r="D96" s="37">
        <v>12</v>
      </c>
      <c r="F96" s="24" t="s">
        <v>86</v>
      </c>
    </row>
    <row r="98" spans="3:6" ht="11.25">
      <c r="C98" s="31" t="s">
        <v>348</v>
      </c>
      <c r="F98" s="31" t="s">
        <v>332</v>
      </c>
    </row>
    <row r="100" ht="10.5">
      <c r="D100" s="35" t="s">
        <v>348</v>
      </c>
    </row>
    <row r="101" spans="4:6" ht="10.5">
      <c r="D101" s="37">
        <v>10</v>
      </c>
      <c r="F101" s="24" t="s">
        <v>98</v>
      </c>
    </row>
    <row r="102" spans="4:6" ht="10.5">
      <c r="D102" s="37">
        <v>100</v>
      </c>
      <c r="F102" s="24" t="s">
        <v>99</v>
      </c>
    </row>
    <row r="103" spans="4:6" ht="10.5">
      <c r="D103" s="37">
        <v>1000</v>
      </c>
      <c r="F103" s="24" t="s">
        <v>100</v>
      </c>
    </row>
    <row r="104" spans="4:6" ht="10.5">
      <c r="D104" s="37">
        <v>1000000</v>
      </c>
      <c r="F104" s="24" t="s">
        <v>101</v>
      </c>
    </row>
    <row r="105" spans="4:6" ht="10.5">
      <c r="D105" s="37">
        <v>1000000000</v>
      </c>
      <c r="F105" s="24"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&amp;N&amp;R&amp;G</oddFooter>
  </headerFooter>
  <rowBreaks count="2" manualBreakCount="2">
    <brk id="43" min="1" max="6" man="1"/>
    <brk id="73" min="1" max="6" man="1"/>
  </rowBreaks>
  <legacyDrawingHF r:id="rId1"/>
</worksheet>
</file>

<file path=xl/worksheets/sheet27.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11. Checks - Best Practice Model Example (2 Errors Detected)</v>
      </c>
    </row>
    <row r="3" spans="2:4" ht="10.5">
      <c r="B3" s="205" t="s">
        <v>49</v>
      </c>
      <c r="C3" s="205"/>
      <c r="D3" s="205"/>
    </row>
    <row r="4" spans="1:3" ht="12.75">
      <c r="A4" s="10" t="s">
        <v>52</v>
      </c>
      <c r="B4" s="11" t="s">
        <v>54</v>
      </c>
      <c r="C4" s="12" t="s">
        <v>103</v>
      </c>
    </row>
    <row r="5" ht="10.5"/>
    <row r="7" ht="12.75">
      <c r="B7" s="102" t="str">
        <f>B1</f>
        <v>Capital - Lookup Tables</v>
      </c>
    </row>
    <row r="9" spans="3:6" ht="11.25">
      <c r="C9" s="96" t="s">
        <v>262</v>
      </c>
      <c r="F9" s="96" t="s">
        <v>55</v>
      </c>
    </row>
    <row r="11" spans="4:6" ht="10.5">
      <c r="D11" s="106" t="s">
        <v>263</v>
      </c>
      <c r="F11" s="6" t="s">
        <v>264</v>
      </c>
    </row>
    <row r="12" ht="10.5">
      <c r="D12" s="107" t="s">
        <v>265</v>
      </c>
    </row>
    <row r="13" ht="10.5">
      <c r="D13" s="107"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8.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11. Checks - Best Practice Model Example (2 Errors Detected)</v>
      </c>
    </row>
    <row r="3" spans="2:4" ht="10.5">
      <c r="B3" s="205" t="s">
        <v>49</v>
      </c>
      <c r="C3" s="205"/>
      <c r="D3" s="205"/>
    </row>
    <row r="4" spans="1:2" ht="12.75">
      <c r="A4" s="10" t="s">
        <v>52</v>
      </c>
      <c r="B4" s="11" t="s">
        <v>54</v>
      </c>
    </row>
    <row r="5" ht="10.5"/>
    <row r="7" ht="12.75">
      <c r="B7" s="30" t="s">
        <v>450</v>
      </c>
    </row>
    <row r="9" spans="3:6" ht="11.25">
      <c r="C9" s="31" t="s">
        <v>449</v>
      </c>
      <c r="F9" s="31" t="s">
        <v>332</v>
      </c>
    </row>
    <row r="11" spans="4:6" ht="10.5">
      <c r="D11" s="35" t="s">
        <v>448</v>
      </c>
      <c r="F11" s="24" t="s">
        <v>451</v>
      </c>
    </row>
    <row r="12" spans="4:6" ht="10.5">
      <c r="D12" s="159" t="str">
        <f>IF(TS_Periodicity=Annual,Fcast_TA!J$7,Fcast_TA!J$6)</f>
        <v>2010 (F) </v>
      </c>
      <c r="F12" s="24"/>
    </row>
    <row r="13" spans="4:6" ht="10.5">
      <c r="D13" s="159" t="str">
        <f>IF(TS_Periodicity=Annual,Fcast_TA!K$7,Fcast_TA!K$6)</f>
        <v>2011 (F) </v>
      </c>
      <c r="F13" s="24"/>
    </row>
    <row r="14" spans="4:6" ht="10.5">
      <c r="D14" s="159" t="str">
        <f>IF(TS_Periodicity=Annual,Fcast_TA!L$7,Fcast_TA!L$6)</f>
        <v>2012 (F) </v>
      </c>
      <c r="F14" s="24"/>
    </row>
    <row r="15" spans="4:6" ht="10.5">
      <c r="D15" s="159" t="str">
        <f>IF(TS_Periodicity=Annual,Fcast_TA!M$7,Fcast_TA!M$6)</f>
        <v>2013 (F) </v>
      </c>
      <c r="F15" s="24"/>
    </row>
    <row r="16" spans="4:6" ht="10.5">
      <c r="D16" s="159" t="str">
        <f>IF(TS_Periodicity=Annual,Fcast_TA!N$7,Fcast_TA!N$6)</f>
        <v>2014 (F) </v>
      </c>
      <c r="F16" s="24"/>
    </row>
    <row r="17" spans="4:6" ht="10.5">
      <c r="D17" s="159" t="str">
        <f>IF(TS_Periodicity=Annual,Fcast_TA!O$7,Fcast_TA!O$6)</f>
        <v>2015 (F) </v>
      </c>
      <c r="F17" s="24"/>
    </row>
    <row r="18" spans="4:6" ht="10.5">
      <c r="D18" s="159" t="str">
        <f>IF(TS_Periodicity=Annual,Fcast_TA!P$7,Fcast_TA!P$6)</f>
        <v>2016 (F) </v>
      </c>
      <c r="F18" s="24"/>
    </row>
    <row r="19" spans="4:6" ht="10.5">
      <c r="D19" s="159" t="str">
        <f>IF(TS_Periodicity=Annual,Fcast_TA!Q$7,Fcast_TA!Q$6)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5" t="s">
        <v>192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289</v>
      </c>
    </row>
    <row r="19" ht="10.5">
      <c r="C19" s="24" t="s">
        <v>290</v>
      </c>
    </row>
    <row r="20" ht="10.5">
      <c r="C20" s="24"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5" t="s">
        <v>193</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205</v>
      </c>
    </row>
    <row r="19" ht="10.5">
      <c r="C19" s="24" t="s">
        <v>299</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5" ht="10.5"/>
    <row r="7" spans="3:13" ht="12.75">
      <c r="C7" s="7" t="s">
        <v>209</v>
      </c>
      <c r="D7" s="16"/>
      <c r="E7" s="16"/>
      <c r="F7" s="16"/>
      <c r="G7" s="7" t="s">
        <v>204</v>
      </c>
      <c r="H7" s="16"/>
      <c r="I7" s="16"/>
      <c r="J7" s="16"/>
      <c r="K7" s="16"/>
      <c r="L7" s="16"/>
      <c r="M7" s="16"/>
    </row>
    <row r="8" ht="4.5" customHeight="1"/>
    <row r="9" spans="3:13" ht="11.25" customHeight="1">
      <c r="C9" s="216" t="s">
        <v>210</v>
      </c>
      <c r="D9" s="216"/>
      <c r="E9" s="216"/>
      <c r="F9" s="216"/>
      <c r="G9" s="218" t="s">
        <v>550</v>
      </c>
      <c r="H9" s="218"/>
      <c r="I9" s="218"/>
      <c r="J9" s="218"/>
      <c r="K9" s="218"/>
      <c r="L9" s="218"/>
      <c r="M9" s="218"/>
    </row>
    <row r="10" spans="3:13" ht="11.25" customHeight="1">
      <c r="C10" s="216"/>
      <c r="D10" s="216"/>
      <c r="E10" s="216"/>
      <c r="F10" s="216"/>
      <c r="G10" s="218"/>
      <c r="H10" s="218"/>
      <c r="I10" s="218"/>
      <c r="J10" s="218"/>
      <c r="K10" s="218"/>
      <c r="L10" s="218"/>
      <c r="M10" s="218"/>
    </row>
    <row r="11" spans="3:13" ht="10.5">
      <c r="C11" s="215"/>
      <c r="D11" s="215"/>
      <c r="E11" s="215"/>
      <c r="F11" s="215"/>
      <c r="G11" s="218"/>
      <c r="H11" s="218"/>
      <c r="I11" s="218"/>
      <c r="J11" s="218"/>
      <c r="K11" s="218"/>
      <c r="L11" s="218"/>
      <c r="M11" s="218"/>
    </row>
    <row r="12" spans="3:13" ht="4.5" customHeight="1">
      <c r="C12" s="215"/>
      <c r="D12" s="215"/>
      <c r="E12" s="215"/>
      <c r="F12" s="215"/>
      <c r="G12" s="185"/>
      <c r="H12" s="185"/>
      <c r="I12" s="185"/>
      <c r="J12" s="185"/>
      <c r="K12" s="185"/>
      <c r="L12" s="185"/>
      <c r="M12" s="185"/>
    </row>
    <row r="13" spans="3:13" ht="11.25" customHeight="1">
      <c r="C13" s="216" t="s">
        <v>211</v>
      </c>
      <c r="D13" s="216"/>
      <c r="E13" s="216"/>
      <c r="F13" s="216"/>
      <c r="G13" s="218" t="s">
        <v>212</v>
      </c>
      <c r="H13" s="218"/>
      <c r="I13" s="218"/>
      <c r="J13" s="218"/>
      <c r="K13" s="218"/>
      <c r="L13" s="218"/>
      <c r="M13" s="218"/>
    </row>
    <row r="14" spans="3:13" ht="4.5" customHeight="1">
      <c r="C14" s="215"/>
      <c r="D14" s="215"/>
      <c r="E14" s="215"/>
      <c r="F14" s="215"/>
      <c r="G14" s="192"/>
      <c r="H14" s="192"/>
      <c r="I14" s="192"/>
      <c r="J14" s="192"/>
      <c r="K14" s="192"/>
      <c r="L14" s="192"/>
      <c r="M14" s="192"/>
    </row>
    <row r="15" spans="3:13" ht="10.5">
      <c r="C15" s="215"/>
      <c r="D15" s="215"/>
      <c r="E15" s="215"/>
      <c r="F15" s="215"/>
      <c r="G15" s="200" t="s">
        <v>551</v>
      </c>
      <c r="H15" s="200"/>
      <c r="I15" s="200"/>
      <c r="J15" s="200"/>
      <c r="K15" s="200"/>
      <c r="L15" s="200"/>
      <c r="M15" s="200"/>
    </row>
    <row r="16" spans="3:13" ht="10.5">
      <c r="C16" s="215"/>
      <c r="D16" s="215"/>
      <c r="E16" s="215"/>
      <c r="F16" s="215"/>
      <c r="G16" s="200" t="s">
        <v>537</v>
      </c>
      <c r="H16" s="200"/>
      <c r="I16" s="200"/>
      <c r="J16" s="200"/>
      <c r="K16" s="200"/>
      <c r="L16" s="200"/>
      <c r="M16" s="200"/>
    </row>
    <row r="17" spans="3:13" ht="10.5">
      <c r="C17" s="215"/>
      <c r="D17" s="215"/>
      <c r="E17" s="215"/>
      <c r="F17" s="215"/>
      <c r="G17" s="200" t="s">
        <v>538</v>
      </c>
      <c r="H17" s="200"/>
      <c r="I17" s="200"/>
      <c r="J17" s="200"/>
      <c r="K17" s="200"/>
      <c r="L17" s="200"/>
      <c r="M17" s="200"/>
    </row>
    <row r="18" spans="3:13" ht="4.5" customHeight="1">
      <c r="C18" s="215"/>
      <c r="D18" s="215"/>
      <c r="E18" s="215"/>
      <c r="F18" s="215"/>
      <c r="G18" s="185"/>
      <c r="H18" s="185"/>
      <c r="I18" s="185"/>
      <c r="J18" s="185"/>
      <c r="K18" s="185"/>
      <c r="L18" s="185"/>
      <c r="M18" s="185"/>
    </row>
    <row r="19" spans="3:13" ht="11.25" customHeight="1">
      <c r="C19" s="216" t="s">
        <v>213</v>
      </c>
      <c r="D19" s="216"/>
      <c r="E19" s="216"/>
      <c r="F19" s="216"/>
      <c r="G19" s="218" t="s">
        <v>536</v>
      </c>
      <c r="H19" s="218"/>
      <c r="I19" s="218"/>
      <c r="J19" s="218"/>
      <c r="K19" s="218"/>
      <c r="L19" s="218"/>
      <c r="M19" s="218"/>
    </row>
    <row r="20" spans="3:13" ht="4.5" customHeight="1">
      <c r="C20" s="215"/>
      <c r="D20" s="215"/>
      <c r="E20" s="215"/>
      <c r="F20" s="215"/>
      <c r="G20" s="185"/>
      <c r="H20" s="185"/>
      <c r="I20" s="185"/>
      <c r="J20" s="185"/>
      <c r="K20" s="185"/>
      <c r="L20" s="185"/>
      <c r="M20" s="185"/>
    </row>
    <row r="21" spans="3:13" ht="11.25" customHeight="1">
      <c r="C21" s="216" t="s">
        <v>214</v>
      </c>
      <c r="D21" s="216"/>
      <c r="E21" s="216"/>
      <c r="F21" s="216"/>
      <c r="G21" s="220" t="s">
        <v>552</v>
      </c>
      <c r="H21" s="220"/>
      <c r="I21" s="220"/>
      <c r="J21" s="220"/>
      <c r="K21" s="220"/>
      <c r="L21" s="220"/>
      <c r="M21" s="220"/>
    </row>
    <row r="22" spans="3:13" ht="11.25" customHeight="1">
      <c r="C22" s="216"/>
      <c r="D22" s="216"/>
      <c r="E22" s="216"/>
      <c r="F22" s="216"/>
      <c r="G22" s="220"/>
      <c r="H22" s="220"/>
      <c r="I22" s="220"/>
      <c r="J22" s="220"/>
      <c r="K22" s="220"/>
      <c r="L22" s="220"/>
      <c r="M22" s="220"/>
    </row>
    <row r="23" spans="3:13" ht="4.5" customHeight="1">
      <c r="C23" s="217"/>
      <c r="D23" s="217"/>
      <c r="E23" s="217"/>
      <c r="F23" s="217"/>
      <c r="G23" s="185"/>
      <c r="H23" s="185"/>
      <c r="I23" s="185"/>
      <c r="J23" s="185"/>
      <c r="K23" s="185"/>
      <c r="L23" s="185"/>
      <c r="M23" s="185"/>
    </row>
    <row r="24" spans="3:13" ht="11.25" customHeight="1">
      <c r="C24" s="216" t="s">
        <v>293</v>
      </c>
      <c r="D24" s="216"/>
      <c r="E24" s="216"/>
      <c r="F24" s="216"/>
      <c r="G24" s="218" t="s">
        <v>553</v>
      </c>
      <c r="H24" s="218"/>
      <c r="I24" s="218"/>
      <c r="J24" s="218"/>
      <c r="K24" s="218"/>
      <c r="L24" s="218"/>
      <c r="M24" s="218"/>
    </row>
    <row r="25" spans="3:13" ht="10.5">
      <c r="C25" s="215"/>
      <c r="D25" s="215"/>
      <c r="E25" s="215"/>
      <c r="F25" s="215"/>
      <c r="G25" s="218"/>
      <c r="H25" s="218"/>
      <c r="I25" s="218"/>
      <c r="J25" s="218"/>
      <c r="K25" s="218"/>
      <c r="L25" s="218"/>
      <c r="M25" s="218"/>
    </row>
    <row r="26" spans="3:13" ht="4.5" customHeight="1">
      <c r="C26" s="217"/>
      <c r="D26" s="217"/>
      <c r="E26" s="217"/>
      <c r="F26" s="217"/>
      <c r="G26" s="185"/>
      <c r="H26" s="185"/>
      <c r="I26" s="185"/>
      <c r="J26" s="185"/>
      <c r="K26" s="185"/>
      <c r="L26" s="185"/>
      <c r="M26" s="185"/>
    </row>
    <row r="27" spans="3:13" ht="11.25" customHeight="1">
      <c r="C27" s="216" t="s">
        <v>215</v>
      </c>
      <c r="D27" s="216"/>
      <c r="E27" s="216"/>
      <c r="F27" s="216"/>
      <c r="G27" s="218" t="s">
        <v>294</v>
      </c>
      <c r="H27" s="218"/>
      <c r="I27" s="218"/>
      <c r="J27" s="218"/>
      <c r="K27" s="218"/>
      <c r="L27" s="218"/>
      <c r="M27" s="218"/>
    </row>
    <row r="28" spans="3:13" ht="11.25" customHeight="1">
      <c r="C28" s="216"/>
      <c r="D28" s="216"/>
      <c r="E28" s="216"/>
      <c r="F28" s="216"/>
      <c r="G28" s="218"/>
      <c r="H28" s="218"/>
      <c r="I28" s="218"/>
      <c r="J28" s="218"/>
      <c r="K28" s="218"/>
      <c r="L28" s="218"/>
      <c r="M28" s="218"/>
    </row>
    <row r="29" spans="3:13" ht="11.25" customHeight="1">
      <c r="C29" s="216"/>
      <c r="D29" s="216"/>
      <c r="E29" s="216"/>
      <c r="F29" s="216"/>
      <c r="G29" s="218"/>
      <c r="H29" s="218"/>
      <c r="I29" s="218"/>
      <c r="J29" s="218"/>
      <c r="K29" s="218"/>
      <c r="L29" s="218"/>
      <c r="M29" s="218"/>
    </row>
    <row r="30" spans="3:13" ht="11.25" customHeight="1">
      <c r="C30" s="214"/>
      <c r="D30" s="214"/>
      <c r="E30" s="214"/>
      <c r="F30" s="214"/>
      <c r="G30" s="218"/>
      <c r="H30" s="218"/>
      <c r="I30" s="218"/>
      <c r="J30" s="218"/>
      <c r="K30" s="218"/>
      <c r="L30" s="218"/>
      <c r="M30" s="218"/>
    </row>
    <row r="31" spans="3:13" ht="4.5" customHeight="1">
      <c r="C31" s="215"/>
      <c r="D31" s="215"/>
      <c r="E31" s="215"/>
      <c r="F31" s="215"/>
      <c r="G31" s="192"/>
      <c r="H31" s="192"/>
      <c r="I31" s="192"/>
      <c r="J31" s="192"/>
      <c r="K31" s="192"/>
      <c r="L31" s="192"/>
      <c r="M31" s="192"/>
    </row>
    <row r="32" spans="3:13" ht="10.5" customHeight="1">
      <c r="C32" s="216" t="s">
        <v>216</v>
      </c>
      <c r="D32" s="216"/>
      <c r="E32" s="216"/>
      <c r="F32" s="216"/>
      <c r="G32" s="218" t="s">
        <v>295</v>
      </c>
      <c r="H32" s="218"/>
      <c r="I32" s="218"/>
      <c r="J32" s="218"/>
      <c r="K32" s="218"/>
      <c r="L32" s="218"/>
      <c r="M32" s="218"/>
    </row>
    <row r="33" spans="3:13" ht="11.25">
      <c r="C33" s="214"/>
      <c r="D33" s="214"/>
      <c r="E33" s="214"/>
      <c r="F33" s="214"/>
      <c r="G33" s="218"/>
      <c r="H33" s="218"/>
      <c r="I33" s="218"/>
      <c r="J33" s="218"/>
      <c r="K33" s="218"/>
      <c r="L33" s="218"/>
      <c r="M33" s="218"/>
    </row>
    <row r="34" spans="3:13" ht="11.25">
      <c r="C34" s="214"/>
      <c r="D34" s="214"/>
      <c r="E34" s="214"/>
      <c r="F34" s="214"/>
      <c r="G34" s="218"/>
      <c r="H34" s="218"/>
      <c r="I34" s="218"/>
      <c r="J34" s="218"/>
      <c r="K34" s="218"/>
      <c r="L34" s="218"/>
      <c r="M34" s="218"/>
    </row>
    <row r="35" spans="3:13" ht="11.25">
      <c r="C35" s="214"/>
      <c r="D35" s="214"/>
      <c r="E35" s="214"/>
      <c r="F35" s="214"/>
      <c r="G35" s="218"/>
      <c r="H35" s="218"/>
      <c r="I35" s="218"/>
      <c r="J35" s="218"/>
      <c r="K35" s="218"/>
      <c r="L35" s="218"/>
      <c r="M35" s="218"/>
    </row>
    <row r="36" spans="3:13" ht="10.5">
      <c r="C36" s="215"/>
      <c r="D36" s="215"/>
      <c r="E36" s="215"/>
      <c r="F36" s="215"/>
      <c r="G36" s="218"/>
      <c r="H36" s="218"/>
      <c r="I36" s="218"/>
      <c r="J36" s="218"/>
      <c r="K36" s="218"/>
      <c r="L36" s="218"/>
      <c r="M36" s="218"/>
    </row>
    <row r="37" spans="3:13" ht="4.5" customHeight="1">
      <c r="C37" s="215"/>
      <c r="D37" s="215"/>
      <c r="E37" s="215"/>
      <c r="F37" s="215"/>
      <c r="G37" s="192"/>
      <c r="H37" s="192"/>
      <c r="I37" s="192"/>
      <c r="J37" s="192"/>
      <c r="K37" s="192"/>
      <c r="L37" s="192"/>
      <c r="M37" s="192"/>
    </row>
    <row r="38" spans="3:13" ht="10.5">
      <c r="C38" s="216" t="s">
        <v>217</v>
      </c>
      <c r="D38" s="216"/>
      <c r="E38" s="216"/>
      <c r="F38" s="216"/>
      <c r="G38" s="219" t="s">
        <v>218</v>
      </c>
      <c r="H38" s="219"/>
      <c r="I38" s="201" t="s">
        <v>47</v>
      </c>
      <c r="J38" s="201"/>
      <c r="K38" s="201"/>
      <c r="L38" s="201"/>
      <c r="M38" s="201"/>
    </row>
    <row r="39" spans="3:13" ht="10.5">
      <c r="C39" s="215"/>
      <c r="D39" s="215"/>
      <c r="E39" s="215"/>
      <c r="F39" s="215"/>
      <c r="G39" s="219" t="s">
        <v>219</v>
      </c>
      <c r="H39" s="219"/>
      <c r="I39" s="201" t="s">
        <v>546</v>
      </c>
      <c r="J39" s="201"/>
      <c r="K39" s="201"/>
      <c r="L39" s="201"/>
      <c r="M39" s="201"/>
    </row>
    <row r="40" spans="3:13" ht="4.5" customHeight="1">
      <c r="C40" s="215"/>
      <c r="D40" s="215"/>
      <c r="E40" s="215"/>
      <c r="F40" s="215"/>
      <c r="G40" s="192"/>
      <c r="H40" s="192"/>
      <c r="I40" s="192"/>
      <c r="J40" s="192"/>
      <c r="K40" s="192"/>
      <c r="L40" s="192"/>
      <c r="M40" s="192"/>
    </row>
    <row r="41" spans="3:13" ht="10.5">
      <c r="C41" s="215"/>
      <c r="D41" s="215"/>
      <c r="E41" s="215"/>
      <c r="F41" s="215"/>
      <c r="G41" s="219" t="s">
        <v>296</v>
      </c>
      <c r="H41" s="219"/>
      <c r="I41" s="219"/>
      <c r="J41" s="219"/>
      <c r="K41" s="219"/>
      <c r="L41" s="219"/>
      <c r="M41" s="219"/>
    </row>
    <row r="42" spans="3:13" ht="4.5" customHeight="1">
      <c r="C42" s="215"/>
      <c r="D42" s="215"/>
      <c r="E42" s="215"/>
      <c r="F42" s="215"/>
      <c r="G42" s="192"/>
      <c r="H42" s="192"/>
      <c r="I42" s="192"/>
      <c r="J42" s="192"/>
      <c r="K42" s="192"/>
      <c r="L42" s="192"/>
      <c r="M42" s="192"/>
    </row>
    <row r="43" spans="3:13" ht="10.5">
      <c r="C43" s="215"/>
      <c r="D43" s="215"/>
      <c r="E43" s="215"/>
      <c r="F43" s="215"/>
      <c r="G43" s="219" t="s">
        <v>220</v>
      </c>
      <c r="H43" s="219"/>
      <c r="I43" s="201" t="s">
        <v>548</v>
      </c>
      <c r="J43" s="201"/>
      <c r="K43" s="201"/>
      <c r="L43" s="201"/>
      <c r="M43" s="201"/>
    </row>
    <row r="44" spans="3:13" ht="4.5" customHeight="1">
      <c r="C44" s="16"/>
      <c r="D44" s="16"/>
      <c r="E44" s="16"/>
      <c r="F44" s="16"/>
      <c r="G44" s="16"/>
      <c r="H44" s="16"/>
      <c r="I44" s="16"/>
      <c r="J44" s="16"/>
      <c r="K44" s="16"/>
      <c r="L44" s="16"/>
      <c r="M44" s="16"/>
    </row>
  </sheetData>
  <sheetProtection/>
  <mergeCells count="53">
    <mergeCell ref="B3:F3"/>
    <mergeCell ref="G9:M11"/>
    <mergeCell ref="G13:M13"/>
    <mergeCell ref="G19:M19"/>
    <mergeCell ref="C9:F9"/>
    <mergeCell ref="C10:F10"/>
    <mergeCell ref="C11:F11"/>
    <mergeCell ref="C12:F12"/>
    <mergeCell ref="C13:F13"/>
    <mergeCell ref="C14:F14"/>
    <mergeCell ref="G21:M22"/>
    <mergeCell ref="G24:M25"/>
    <mergeCell ref="G27:M30"/>
    <mergeCell ref="G15:M15"/>
    <mergeCell ref="G16:M16"/>
    <mergeCell ref="G17:M17"/>
    <mergeCell ref="G32:M36"/>
    <mergeCell ref="G43:H43"/>
    <mergeCell ref="G38:H38"/>
    <mergeCell ref="G39:H39"/>
    <mergeCell ref="I38:M38"/>
    <mergeCell ref="I39:M39"/>
    <mergeCell ref="G41:M41"/>
    <mergeCell ref="I43:M43"/>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43:F43"/>
    <mergeCell ref="C38:F38"/>
    <mergeCell ref="C39:F39"/>
    <mergeCell ref="C40:F40"/>
    <mergeCell ref="C41:F41"/>
    <mergeCell ref="C42:F42"/>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5" t="s">
        <v>198</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291</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7.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5" spans="2:6" ht="12.75">
      <c r="B5" s="11"/>
      <c r="C5" s="12"/>
      <c r="D5" s="193"/>
      <c r="E5" s="193"/>
      <c r="F5" s="13"/>
    </row>
    <row r="6" spans="1:6" ht="12.75">
      <c r="A6" s="10"/>
      <c r="B6" s="11"/>
      <c r="C6" s="12"/>
      <c r="D6" s="193"/>
      <c r="E6" s="193"/>
      <c r="F6" s="13"/>
    </row>
    <row r="7" spans="1:6" ht="12.75">
      <c r="A7" s="10"/>
      <c r="B7" s="30" t="s">
        <v>106</v>
      </c>
      <c r="C7" s="12"/>
      <c r="D7" s="193"/>
      <c r="E7" s="193"/>
      <c r="F7" s="13"/>
    </row>
    <row r="8" spans="1:6" ht="12.75">
      <c r="A8" s="10"/>
      <c r="B8" s="11"/>
      <c r="C8" s="12"/>
      <c r="D8" s="193"/>
      <c r="E8" s="193"/>
      <c r="F8" s="13"/>
    </row>
    <row r="9" spans="1:14" ht="12.75">
      <c r="A9" s="10"/>
      <c r="B9" s="11"/>
      <c r="C9" s="194"/>
      <c r="D9" s="32" t="s">
        <v>107</v>
      </c>
      <c r="E9" s="195"/>
      <c r="F9" s="196"/>
      <c r="G9" s="16"/>
      <c r="H9" s="32" t="s">
        <v>108</v>
      </c>
      <c r="I9" s="16"/>
      <c r="J9" s="16"/>
      <c r="K9" s="16"/>
      <c r="L9" s="16"/>
      <c r="M9" s="204" t="s">
        <v>109</v>
      </c>
      <c r="N9" s="204"/>
    </row>
    <row r="10" spans="1:6" ht="4.5" customHeight="1">
      <c r="A10" s="10"/>
      <c r="B10" s="11"/>
      <c r="C10" s="12"/>
      <c r="D10" s="193"/>
      <c r="E10" s="193"/>
      <c r="F10" s="13"/>
    </row>
    <row r="11" spans="1:6" ht="12.75">
      <c r="A11" s="10"/>
      <c r="B11" s="11"/>
      <c r="C11" s="12"/>
      <c r="D11" s="23" t="s">
        <v>303</v>
      </c>
      <c r="E11" s="193"/>
      <c r="F11" s="13"/>
    </row>
    <row r="12" spans="1:6" ht="4.5" customHeight="1">
      <c r="A12" s="10"/>
      <c r="B12" s="11"/>
      <c r="C12" s="12"/>
      <c r="D12" s="193"/>
      <c r="E12" s="193"/>
      <c r="F12" s="13"/>
    </row>
    <row r="13" spans="1:14" ht="12.75">
      <c r="A13" s="10"/>
      <c r="B13" s="11"/>
      <c r="C13" s="12"/>
      <c r="D13" s="221" t="s">
        <v>555</v>
      </c>
      <c r="E13" s="221"/>
      <c r="F13" s="221"/>
      <c r="G13" s="221"/>
      <c r="H13" s="221" t="s">
        <v>556</v>
      </c>
      <c r="I13" s="221"/>
      <c r="J13" s="221"/>
      <c r="K13" s="221"/>
      <c r="L13" s="221"/>
      <c r="M13" s="222" t="s">
        <v>555</v>
      </c>
      <c r="N13" s="222"/>
    </row>
    <row r="14" spans="1:6" ht="4.5" customHeight="1">
      <c r="A14" s="10"/>
      <c r="B14" s="11"/>
      <c r="C14" s="12"/>
      <c r="D14" s="193"/>
      <c r="E14" s="193"/>
      <c r="F14" s="13"/>
    </row>
    <row r="15" spans="1:14" ht="12.75">
      <c r="A15" s="10"/>
      <c r="B15" s="11"/>
      <c r="C15" s="12"/>
      <c r="D15" s="221" t="s">
        <v>557</v>
      </c>
      <c r="E15" s="221"/>
      <c r="F15" s="221"/>
      <c r="G15" s="221"/>
      <c r="H15" s="221" t="s">
        <v>558</v>
      </c>
      <c r="I15" s="221"/>
      <c r="J15" s="221"/>
      <c r="K15" s="221"/>
      <c r="L15" s="221"/>
      <c r="M15" s="223" t="s">
        <v>557</v>
      </c>
      <c r="N15" s="223"/>
    </row>
    <row r="16" spans="1:6" ht="4.5" customHeight="1">
      <c r="A16" s="10"/>
      <c r="B16" s="11"/>
      <c r="C16" s="12"/>
      <c r="D16" s="193"/>
      <c r="E16" s="193"/>
      <c r="F16" s="13"/>
    </row>
    <row r="17" spans="1:14" ht="12.75">
      <c r="A17" s="10"/>
      <c r="B17" s="11"/>
      <c r="C17" s="12"/>
      <c r="D17" s="221" t="s">
        <v>559</v>
      </c>
      <c r="E17" s="221"/>
      <c r="F17" s="221"/>
      <c r="G17" s="221"/>
      <c r="H17" s="221" t="s">
        <v>560</v>
      </c>
      <c r="I17" s="221"/>
      <c r="J17" s="221"/>
      <c r="K17" s="221"/>
      <c r="L17" s="221"/>
      <c r="M17" s="224" t="s">
        <v>559</v>
      </c>
      <c r="N17" s="224"/>
    </row>
    <row r="18" spans="1:12" ht="12.75">
      <c r="A18" s="10"/>
      <c r="B18" s="11"/>
      <c r="C18" s="12"/>
      <c r="D18" s="221"/>
      <c r="E18" s="221"/>
      <c r="F18" s="221"/>
      <c r="G18" s="221"/>
      <c r="H18" s="221"/>
      <c r="I18" s="221"/>
      <c r="J18" s="221"/>
      <c r="K18" s="221"/>
      <c r="L18" s="221"/>
    </row>
    <row r="19" spans="1:6" ht="4.5" customHeight="1">
      <c r="A19" s="10"/>
      <c r="B19" s="11"/>
      <c r="C19" s="12"/>
      <c r="D19" s="193"/>
      <c r="E19" s="193"/>
      <c r="F19" s="13"/>
    </row>
    <row r="20" spans="1:14" ht="12.75">
      <c r="A20" s="10"/>
      <c r="B20" s="11"/>
      <c r="C20" s="12"/>
      <c r="D20" s="221" t="s">
        <v>229</v>
      </c>
      <c r="E20" s="221"/>
      <c r="F20" s="221"/>
      <c r="G20" s="221"/>
      <c r="H20" s="221" t="s">
        <v>561</v>
      </c>
      <c r="I20" s="221"/>
      <c r="J20" s="221"/>
      <c r="K20" s="221"/>
      <c r="L20" s="221"/>
      <c r="M20" s="225" t="s">
        <v>229</v>
      </c>
      <c r="N20" s="225"/>
    </row>
    <row r="21" spans="1:6" ht="4.5" customHeight="1">
      <c r="A21" s="10"/>
      <c r="B21" s="11"/>
      <c r="C21" s="12"/>
      <c r="D21" s="193"/>
      <c r="E21" s="193"/>
      <c r="F21" s="13"/>
    </row>
    <row r="22" spans="1:6" ht="4.5" customHeight="1">
      <c r="A22" s="10"/>
      <c r="B22" s="11"/>
      <c r="C22" s="12"/>
      <c r="D22" s="193"/>
      <c r="E22" s="193"/>
      <c r="F22" s="13"/>
    </row>
    <row r="23" spans="1:14" ht="12.75">
      <c r="A23" s="10"/>
      <c r="B23" s="11"/>
      <c r="C23" s="12"/>
      <c r="D23" s="221" t="s">
        <v>110</v>
      </c>
      <c r="E23" s="221"/>
      <c r="F23" s="221"/>
      <c r="G23" s="221"/>
      <c r="H23" s="221" t="s">
        <v>562</v>
      </c>
      <c r="I23" s="221"/>
      <c r="J23" s="221"/>
      <c r="K23" s="221"/>
      <c r="L23" s="221"/>
      <c r="M23" s="228" t="s">
        <v>110</v>
      </c>
      <c r="N23" s="228"/>
    </row>
    <row r="24" spans="1:12" ht="12.75">
      <c r="A24" s="10"/>
      <c r="B24" s="11"/>
      <c r="C24" s="12"/>
      <c r="D24" s="221"/>
      <c r="E24" s="221"/>
      <c r="F24" s="221"/>
      <c r="G24" s="221"/>
      <c r="H24" s="221"/>
      <c r="I24" s="221"/>
      <c r="J24" s="221"/>
      <c r="K24" s="221"/>
      <c r="L24" s="221"/>
    </row>
    <row r="25" spans="1:6" ht="4.5" customHeight="1">
      <c r="A25" s="10"/>
      <c r="B25" s="11"/>
      <c r="C25" s="12"/>
      <c r="D25" s="193"/>
      <c r="E25" s="193"/>
      <c r="F25" s="13"/>
    </row>
    <row r="26" spans="1:6" ht="12.75">
      <c r="A26" s="10"/>
      <c r="B26" s="11"/>
      <c r="C26" s="12"/>
      <c r="D26" s="23" t="s">
        <v>304</v>
      </c>
      <c r="E26" s="193"/>
      <c r="F26" s="13"/>
    </row>
    <row r="27" spans="1:6" ht="4.5" customHeight="1">
      <c r="A27" s="10"/>
      <c r="B27" s="11"/>
      <c r="C27" s="12"/>
      <c r="D27" s="193"/>
      <c r="E27" s="193"/>
      <c r="F27" s="13"/>
    </row>
    <row r="28" spans="1:14" ht="12.75">
      <c r="A28" s="10"/>
      <c r="B28" s="11"/>
      <c r="C28" s="12"/>
      <c r="D28" s="221" t="s">
        <v>563</v>
      </c>
      <c r="E28" s="221"/>
      <c r="F28" s="221"/>
      <c r="G28" s="221"/>
      <c r="H28" s="221" t="s">
        <v>564</v>
      </c>
      <c r="I28" s="221"/>
      <c r="J28" s="221"/>
      <c r="K28" s="221"/>
      <c r="L28" s="221"/>
      <c r="M28" s="229"/>
      <c r="N28" s="230"/>
    </row>
    <row r="29" spans="1:6" ht="4.5" customHeight="1">
      <c r="A29" s="10"/>
      <c r="B29" s="11"/>
      <c r="C29" s="12"/>
      <c r="D29" s="193"/>
      <c r="E29" s="193"/>
      <c r="F29" s="13"/>
    </row>
    <row r="30" spans="1:14" ht="12.75">
      <c r="A30" s="10"/>
      <c r="B30" s="11"/>
      <c r="C30" s="12"/>
      <c r="D30" s="221" t="s">
        <v>565</v>
      </c>
      <c r="E30" s="221"/>
      <c r="F30" s="221"/>
      <c r="G30" s="221"/>
      <c r="H30" s="221" t="s">
        <v>566</v>
      </c>
      <c r="I30" s="221"/>
      <c r="J30" s="221"/>
      <c r="K30" s="221"/>
      <c r="L30" s="221"/>
      <c r="M30" s="231"/>
      <c r="N30" s="232"/>
    </row>
    <row r="31" spans="1:12" ht="12.75">
      <c r="A31" s="10"/>
      <c r="B31" s="11"/>
      <c r="C31" s="12"/>
      <c r="D31" s="221"/>
      <c r="E31" s="221"/>
      <c r="F31" s="221"/>
      <c r="G31" s="221"/>
      <c r="H31" s="221"/>
      <c r="I31" s="221"/>
      <c r="J31" s="221"/>
      <c r="K31" s="221"/>
      <c r="L31" s="221"/>
    </row>
    <row r="32" spans="1:6" ht="4.5" customHeight="1">
      <c r="A32" s="10"/>
      <c r="B32" s="11"/>
      <c r="C32" s="12"/>
      <c r="D32" s="193"/>
      <c r="E32" s="193"/>
      <c r="F32" s="13"/>
    </row>
    <row r="33" spans="1:14" ht="12.75">
      <c r="A33" s="10"/>
      <c r="B33" s="11"/>
      <c r="C33" s="12"/>
      <c r="D33" s="221" t="s">
        <v>567</v>
      </c>
      <c r="E33" s="221"/>
      <c r="F33" s="221"/>
      <c r="G33" s="221"/>
      <c r="H33" s="221" t="s">
        <v>568</v>
      </c>
      <c r="I33" s="221"/>
      <c r="J33" s="221"/>
      <c r="K33" s="221"/>
      <c r="L33" s="221"/>
      <c r="M33" s="226"/>
      <c r="N33" s="227"/>
    </row>
    <row r="34" spans="1:12" ht="12.75">
      <c r="A34" s="10"/>
      <c r="B34" s="11"/>
      <c r="C34" s="12"/>
      <c r="D34" s="221"/>
      <c r="E34" s="221"/>
      <c r="F34" s="221"/>
      <c r="G34" s="221"/>
      <c r="H34" s="221"/>
      <c r="I34" s="221"/>
      <c r="J34" s="221"/>
      <c r="K34" s="221"/>
      <c r="L34" s="221"/>
    </row>
    <row r="35" spans="1:14" ht="4.5" customHeight="1">
      <c r="A35" s="10"/>
      <c r="B35" s="11"/>
      <c r="C35" s="194"/>
      <c r="D35" s="195"/>
      <c r="E35" s="195"/>
      <c r="F35" s="196"/>
      <c r="G35" s="16"/>
      <c r="H35" s="16"/>
      <c r="I35" s="16"/>
      <c r="J35" s="16"/>
      <c r="K35" s="16"/>
      <c r="L35" s="16"/>
      <c r="M35" s="16"/>
      <c r="N35" s="16"/>
    </row>
    <row r="36" spans="1:6" ht="12.75">
      <c r="A36" s="10"/>
      <c r="B36" s="11"/>
      <c r="C36" s="12"/>
      <c r="D36" s="193"/>
      <c r="E36" s="193"/>
      <c r="F36" s="13"/>
    </row>
    <row r="37" spans="1:6" ht="12.75">
      <c r="A37" s="10"/>
      <c r="B37" s="11"/>
      <c r="C37" s="12"/>
      <c r="D37" s="193"/>
      <c r="E37" s="193"/>
      <c r="F37" s="13"/>
    </row>
    <row r="38" spans="1:14" ht="12.75">
      <c r="A38" s="10"/>
      <c r="B38" s="11"/>
      <c r="C38" s="194"/>
      <c r="D38" s="32" t="s">
        <v>111</v>
      </c>
      <c r="E38" s="195"/>
      <c r="F38" s="196"/>
      <c r="G38" s="16"/>
      <c r="H38" s="32" t="s">
        <v>112</v>
      </c>
      <c r="I38" s="16"/>
      <c r="J38" s="16"/>
      <c r="K38" s="16"/>
      <c r="L38" s="16"/>
      <c r="M38" s="204" t="s">
        <v>109</v>
      </c>
      <c r="N38" s="204"/>
    </row>
    <row r="39" spans="1:6" ht="4.5" customHeight="1">
      <c r="A39" s="10"/>
      <c r="B39" s="11"/>
      <c r="C39" s="12"/>
      <c r="D39" s="193"/>
      <c r="E39" s="193"/>
      <c r="F39" s="13"/>
    </row>
    <row r="40" spans="1:14" ht="12.75">
      <c r="A40" s="10"/>
      <c r="B40" s="11"/>
      <c r="C40" s="12"/>
      <c r="D40" s="221" t="s">
        <v>113</v>
      </c>
      <c r="E40" s="221"/>
      <c r="F40" s="221"/>
      <c r="G40" s="221"/>
      <c r="H40" s="221" t="s">
        <v>114</v>
      </c>
      <c r="I40" s="221"/>
      <c r="J40" s="221"/>
      <c r="K40" s="221"/>
      <c r="L40" s="221"/>
      <c r="M40" s="228" t="s">
        <v>305</v>
      </c>
      <c r="N40" s="228"/>
    </row>
    <row r="41" spans="1:6" ht="4.5" customHeight="1">
      <c r="A41" s="10"/>
      <c r="B41" s="11"/>
      <c r="C41" s="12"/>
      <c r="D41" s="193"/>
      <c r="E41" s="193"/>
      <c r="F41" s="13"/>
    </row>
    <row r="42" spans="1:14" ht="12.75">
      <c r="A42" s="10"/>
      <c r="B42" s="11"/>
      <c r="C42" s="12"/>
      <c r="D42" s="221" t="s">
        <v>115</v>
      </c>
      <c r="E42" s="221"/>
      <c r="F42" s="221"/>
      <c r="G42" s="221"/>
      <c r="H42" s="221" t="s">
        <v>116</v>
      </c>
      <c r="I42" s="221"/>
      <c r="J42" s="221"/>
      <c r="K42" s="221"/>
      <c r="L42" s="221"/>
      <c r="M42" s="228" t="s">
        <v>306</v>
      </c>
      <c r="N42" s="228"/>
    </row>
    <row r="43" spans="1:6" ht="4.5" customHeight="1">
      <c r="A43" s="10"/>
      <c r="B43" s="11"/>
      <c r="C43" s="12"/>
      <c r="D43" s="193"/>
      <c r="E43" s="193"/>
      <c r="F43" s="13"/>
    </row>
    <row r="44" spans="1:14" ht="12.75">
      <c r="A44" s="10"/>
      <c r="B44" s="11"/>
      <c r="C44" s="12"/>
      <c r="D44" s="221" t="s">
        <v>117</v>
      </c>
      <c r="E44" s="221"/>
      <c r="F44" s="221"/>
      <c r="G44" s="221"/>
      <c r="H44" s="221" t="s">
        <v>118</v>
      </c>
      <c r="I44" s="221"/>
      <c r="J44" s="221"/>
      <c r="K44" s="221"/>
      <c r="L44" s="221"/>
      <c r="M44" s="228" t="s">
        <v>119</v>
      </c>
      <c r="N44" s="228"/>
    </row>
    <row r="45" spans="1:6" ht="4.5" customHeight="1">
      <c r="A45" s="10"/>
      <c r="B45" s="11"/>
      <c r="C45" s="12"/>
      <c r="D45" s="193"/>
      <c r="E45" s="193"/>
      <c r="F45" s="13"/>
    </row>
    <row r="46" spans="1:14" ht="12.75">
      <c r="A46" s="10"/>
      <c r="B46" s="11"/>
      <c r="C46" s="12"/>
      <c r="D46" s="221" t="s">
        <v>120</v>
      </c>
      <c r="E46" s="221"/>
      <c r="F46" s="221"/>
      <c r="G46" s="221"/>
      <c r="H46" s="221" t="s">
        <v>121</v>
      </c>
      <c r="I46" s="221"/>
      <c r="J46" s="221"/>
      <c r="K46" s="221"/>
      <c r="L46" s="221"/>
      <c r="M46" s="233" t="s">
        <v>52</v>
      </c>
      <c r="N46" s="233"/>
    </row>
    <row r="47" spans="1:6" ht="4.5" customHeight="1">
      <c r="A47" s="10"/>
      <c r="B47" s="11"/>
      <c r="C47" s="12"/>
      <c r="D47" s="193"/>
      <c r="E47" s="193"/>
      <c r="F47" s="13"/>
    </row>
    <row r="48" spans="1:14" ht="12.75">
      <c r="A48" s="10"/>
      <c r="B48" s="11"/>
      <c r="C48" s="12"/>
      <c r="D48" s="221" t="s">
        <v>122</v>
      </c>
      <c r="E48" s="221"/>
      <c r="F48" s="221"/>
      <c r="G48" s="221"/>
      <c r="H48" s="221" t="s">
        <v>123</v>
      </c>
      <c r="I48" s="221"/>
      <c r="J48" s="221"/>
      <c r="K48" s="221"/>
      <c r="L48" s="221"/>
      <c r="M48" s="233" t="s">
        <v>54</v>
      </c>
      <c r="N48" s="233"/>
    </row>
    <row r="49" spans="1:6" ht="4.5" customHeight="1">
      <c r="A49" s="10"/>
      <c r="B49" s="11"/>
      <c r="C49" s="12"/>
      <c r="D49" s="193"/>
      <c r="E49" s="193"/>
      <c r="F49" s="13"/>
    </row>
    <row r="50" spans="1:14" ht="12.75">
      <c r="A50" s="10"/>
      <c r="B50" s="11"/>
      <c r="C50" s="12"/>
      <c r="D50" s="221" t="s">
        <v>124</v>
      </c>
      <c r="E50" s="221"/>
      <c r="F50" s="221"/>
      <c r="G50" s="221"/>
      <c r="H50" s="221" t="s">
        <v>307</v>
      </c>
      <c r="I50" s="221"/>
      <c r="J50" s="221"/>
      <c r="K50" s="221"/>
      <c r="L50" s="221"/>
      <c r="M50" s="233" t="s">
        <v>103</v>
      </c>
      <c r="N50" s="233"/>
    </row>
    <row r="51" spans="1:14" ht="4.5" customHeight="1">
      <c r="A51" s="10"/>
      <c r="B51" s="11"/>
      <c r="C51" s="194"/>
      <c r="D51" s="195"/>
      <c r="E51" s="195"/>
      <c r="F51" s="196"/>
      <c r="G51" s="16"/>
      <c r="H51" s="16"/>
      <c r="I51" s="16"/>
      <c r="J51" s="16"/>
      <c r="K51" s="16"/>
      <c r="L51" s="16"/>
      <c r="M51" s="16"/>
      <c r="N51" s="16"/>
    </row>
    <row r="52" spans="1:6" ht="12.75">
      <c r="A52" s="10"/>
      <c r="B52" s="11"/>
      <c r="C52" s="12"/>
      <c r="D52" s="193"/>
      <c r="E52" s="193"/>
      <c r="F52" s="13"/>
    </row>
    <row r="53" spans="1:6" ht="12.75">
      <c r="A53" s="10"/>
      <c r="B53" s="11"/>
      <c r="C53" s="12"/>
      <c r="D53" s="193"/>
      <c r="E53" s="193"/>
      <c r="F53" s="13"/>
    </row>
    <row r="54" spans="1:6" ht="12.75">
      <c r="A54" s="10"/>
      <c r="B54" s="30" t="s">
        <v>125</v>
      </c>
      <c r="C54" s="12"/>
      <c r="D54" s="193"/>
      <c r="E54" s="193"/>
      <c r="F54" s="13"/>
    </row>
    <row r="55" spans="1:6" ht="12.75">
      <c r="A55" s="10"/>
      <c r="B55" s="11"/>
      <c r="C55" s="12"/>
      <c r="D55" s="193"/>
      <c r="E55" s="193"/>
      <c r="F55" s="13"/>
    </row>
    <row r="56" spans="1:14" ht="12.75">
      <c r="A56" s="10"/>
      <c r="B56" s="11"/>
      <c r="C56" s="194"/>
      <c r="D56" s="32" t="s">
        <v>308</v>
      </c>
      <c r="E56" s="195"/>
      <c r="F56" s="196"/>
      <c r="G56" s="16"/>
      <c r="H56" s="32" t="s">
        <v>126</v>
      </c>
      <c r="I56" s="16"/>
      <c r="J56" s="16"/>
      <c r="K56" s="16"/>
      <c r="L56" s="16"/>
      <c r="M56" s="204" t="s">
        <v>309</v>
      </c>
      <c r="N56" s="204"/>
    </row>
    <row r="57" spans="1:6" ht="4.5" customHeight="1">
      <c r="A57" s="10"/>
      <c r="B57" s="11"/>
      <c r="C57" s="12"/>
      <c r="D57" s="193"/>
      <c r="E57" s="193"/>
      <c r="F57" s="13"/>
    </row>
    <row r="58" spans="1:14" ht="12.75">
      <c r="A58" s="10"/>
      <c r="B58" s="11"/>
      <c r="C58" s="12"/>
      <c r="D58" s="221" t="s">
        <v>310</v>
      </c>
      <c r="E58" s="221"/>
      <c r="F58" s="221"/>
      <c r="G58" s="221"/>
      <c r="H58" s="221" t="s">
        <v>127</v>
      </c>
      <c r="I58" s="221"/>
      <c r="J58" s="221"/>
      <c r="K58" s="221"/>
      <c r="L58" s="221"/>
      <c r="M58" s="172" t="s">
        <v>311</v>
      </c>
      <c r="N58" s="172"/>
    </row>
    <row r="59" spans="1:6" ht="4.5" customHeight="1">
      <c r="A59" s="10"/>
      <c r="B59" s="11"/>
      <c r="C59" s="12"/>
      <c r="D59" s="193"/>
      <c r="E59" s="193"/>
      <c r="F59" s="13"/>
    </row>
    <row r="60" spans="1:14" ht="12.75">
      <c r="A60" s="10"/>
      <c r="B60" s="11"/>
      <c r="C60" s="12"/>
      <c r="D60" s="221" t="s">
        <v>132</v>
      </c>
      <c r="E60" s="221"/>
      <c r="F60" s="221"/>
      <c r="G60" s="221"/>
      <c r="H60" s="221" t="s">
        <v>133</v>
      </c>
      <c r="I60" s="221"/>
      <c r="J60" s="221"/>
      <c r="K60" s="221"/>
      <c r="L60" s="221"/>
      <c r="M60" s="172" t="s">
        <v>134</v>
      </c>
      <c r="N60" s="172"/>
    </row>
    <row r="61" spans="1:14" ht="4.5" customHeight="1">
      <c r="A61" s="10"/>
      <c r="B61" s="11"/>
      <c r="C61" s="197"/>
      <c r="D61" s="198"/>
      <c r="E61" s="198"/>
      <c r="F61" s="199"/>
      <c r="G61" s="18"/>
      <c r="H61" s="18"/>
      <c r="I61" s="18"/>
      <c r="J61" s="18"/>
      <c r="K61" s="18"/>
      <c r="L61" s="18"/>
      <c r="M61" s="18"/>
      <c r="N61" s="18"/>
    </row>
    <row r="62" spans="1:6" ht="4.5" customHeight="1">
      <c r="A62" s="10"/>
      <c r="B62" s="11"/>
      <c r="C62" s="12"/>
      <c r="D62" s="193"/>
      <c r="E62" s="193"/>
      <c r="F62" s="13"/>
    </row>
    <row r="63" spans="1:14" ht="12.75">
      <c r="A63" s="10"/>
      <c r="B63" s="11"/>
      <c r="C63" s="12"/>
      <c r="D63" s="221" t="s">
        <v>128</v>
      </c>
      <c r="E63" s="221"/>
      <c r="F63" s="221"/>
      <c r="G63" s="221"/>
      <c r="H63" s="221" t="s">
        <v>129</v>
      </c>
      <c r="I63" s="221"/>
      <c r="J63" s="221"/>
      <c r="K63" s="221"/>
      <c r="L63" s="221"/>
      <c r="M63" s="172" t="s">
        <v>104</v>
      </c>
      <c r="N63" s="172"/>
    </row>
    <row r="64" spans="1:6" ht="4.5" customHeight="1">
      <c r="A64" s="10"/>
      <c r="B64" s="11"/>
      <c r="C64" s="12"/>
      <c r="D64" s="193"/>
      <c r="E64" s="193"/>
      <c r="F64" s="13"/>
    </row>
    <row r="65" spans="1:14" ht="12.75">
      <c r="A65" s="10"/>
      <c r="B65" s="11"/>
      <c r="C65" s="12"/>
      <c r="D65" s="221" t="s">
        <v>130</v>
      </c>
      <c r="E65" s="221"/>
      <c r="F65" s="221"/>
      <c r="G65" s="221"/>
      <c r="H65" s="221" t="s">
        <v>131</v>
      </c>
      <c r="I65" s="221"/>
      <c r="J65" s="221"/>
      <c r="K65" s="221"/>
      <c r="L65" s="221"/>
      <c r="M65" s="172" t="s">
        <v>105</v>
      </c>
      <c r="N65" s="172"/>
    </row>
    <row r="66" spans="1:14" ht="4.5" customHeight="1">
      <c r="A66" s="10"/>
      <c r="B66" s="11"/>
      <c r="C66" s="197"/>
      <c r="D66" s="198"/>
      <c r="E66" s="198"/>
      <c r="F66" s="199"/>
      <c r="G66" s="18"/>
      <c r="H66" s="18"/>
      <c r="I66" s="18"/>
      <c r="J66" s="18"/>
      <c r="K66" s="18"/>
      <c r="L66" s="18"/>
      <c r="M66" s="18"/>
      <c r="N66" s="18"/>
    </row>
    <row r="67" spans="1:6" ht="4.5" customHeight="1">
      <c r="A67" s="10"/>
      <c r="B67" s="11"/>
      <c r="C67" s="12"/>
      <c r="D67" s="193"/>
      <c r="E67" s="193"/>
      <c r="F67" s="13"/>
    </row>
    <row r="68" spans="1:14" ht="12.75">
      <c r="A68" s="10"/>
      <c r="B68" s="11"/>
      <c r="C68" s="12"/>
      <c r="D68" s="221" t="s">
        <v>312</v>
      </c>
      <c r="E68" s="221"/>
      <c r="F68" s="221"/>
      <c r="G68" s="221"/>
      <c r="H68" s="221" t="s">
        <v>138</v>
      </c>
      <c r="I68" s="221"/>
      <c r="J68" s="221"/>
      <c r="K68" s="221"/>
      <c r="L68" s="221"/>
      <c r="M68" s="172" t="s">
        <v>139</v>
      </c>
      <c r="N68" s="172"/>
    </row>
    <row r="69" spans="1:6" ht="4.5" customHeight="1">
      <c r="A69" s="10"/>
      <c r="B69" s="11"/>
      <c r="C69" s="12"/>
      <c r="D69" s="193"/>
      <c r="E69" s="193"/>
      <c r="F69" s="13"/>
    </row>
    <row r="70" spans="1:14" ht="12.75">
      <c r="A70" s="10"/>
      <c r="B70" s="11"/>
      <c r="C70" s="12"/>
      <c r="D70" s="221" t="s">
        <v>313</v>
      </c>
      <c r="E70" s="221"/>
      <c r="F70" s="221"/>
      <c r="G70" s="221"/>
      <c r="H70" s="221" t="s">
        <v>314</v>
      </c>
      <c r="I70" s="221"/>
      <c r="J70" s="221"/>
      <c r="K70" s="221"/>
      <c r="L70" s="221"/>
      <c r="M70" s="172" t="s">
        <v>315</v>
      </c>
      <c r="N70" s="172"/>
    </row>
    <row r="71" spans="1:12" ht="12.75">
      <c r="A71" s="10"/>
      <c r="B71" s="11"/>
      <c r="C71" s="12"/>
      <c r="D71" s="221"/>
      <c r="E71" s="221"/>
      <c r="F71" s="221"/>
      <c r="G71" s="221"/>
      <c r="H71" s="221"/>
      <c r="I71" s="221"/>
      <c r="J71" s="221"/>
      <c r="K71" s="221"/>
      <c r="L71" s="221"/>
    </row>
    <row r="72" spans="1:14" ht="4.5" customHeight="1">
      <c r="A72" s="10"/>
      <c r="B72" s="11"/>
      <c r="C72" s="197"/>
      <c r="D72" s="198"/>
      <c r="E72" s="198"/>
      <c r="F72" s="199"/>
      <c r="G72" s="18"/>
      <c r="H72" s="18"/>
      <c r="I72" s="18"/>
      <c r="J72" s="18"/>
      <c r="K72" s="18"/>
      <c r="L72" s="18"/>
      <c r="M72" s="18"/>
      <c r="N72" s="18"/>
    </row>
    <row r="73" spans="1:6" ht="4.5" customHeight="1">
      <c r="A73" s="10"/>
      <c r="B73" s="11"/>
      <c r="C73" s="12"/>
      <c r="D73" s="193"/>
      <c r="E73" s="193"/>
      <c r="F73" s="13"/>
    </row>
    <row r="74" spans="1:14" ht="12.75">
      <c r="A74" s="10"/>
      <c r="B74" s="11"/>
      <c r="C74" s="12"/>
      <c r="D74" s="221" t="s">
        <v>140</v>
      </c>
      <c r="E74" s="221"/>
      <c r="F74" s="221"/>
      <c r="G74" s="221"/>
      <c r="H74" s="221" t="s">
        <v>141</v>
      </c>
      <c r="I74" s="221"/>
      <c r="J74" s="221"/>
      <c r="K74" s="221"/>
      <c r="L74" s="221"/>
      <c r="M74" s="172" t="s">
        <v>574</v>
      </c>
      <c r="N74" s="172"/>
    </row>
    <row r="75" spans="1:6" ht="4.5" customHeight="1">
      <c r="A75" s="10"/>
      <c r="B75" s="11"/>
      <c r="C75" s="12"/>
      <c r="D75" s="193"/>
      <c r="E75" s="193"/>
      <c r="F75" s="13"/>
    </row>
    <row r="76" spans="1:14" ht="12.75">
      <c r="A76" s="10"/>
      <c r="B76" s="11"/>
      <c r="C76" s="12"/>
      <c r="D76" s="221" t="s">
        <v>316</v>
      </c>
      <c r="E76" s="221"/>
      <c r="F76" s="221"/>
      <c r="G76" s="221"/>
      <c r="H76" s="221" t="s">
        <v>317</v>
      </c>
      <c r="I76" s="221"/>
      <c r="J76" s="221"/>
      <c r="K76" s="221"/>
      <c r="L76" s="221"/>
      <c r="M76" s="172" t="s">
        <v>318</v>
      </c>
      <c r="N76" s="172"/>
    </row>
    <row r="77" spans="1:12" ht="12.75">
      <c r="A77" s="10"/>
      <c r="B77" s="11"/>
      <c r="C77" s="12"/>
      <c r="D77" s="221"/>
      <c r="E77" s="221"/>
      <c r="F77" s="221"/>
      <c r="G77" s="221"/>
      <c r="H77" s="221"/>
      <c r="I77" s="221"/>
      <c r="J77" s="221"/>
      <c r="K77" s="221"/>
      <c r="L77" s="221"/>
    </row>
    <row r="78" spans="1:14" ht="4.5" customHeight="1">
      <c r="A78" s="10"/>
      <c r="B78" s="11"/>
      <c r="C78" s="197"/>
      <c r="D78" s="198"/>
      <c r="E78" s="198"/>
      <c r="F78" s="199"/>
      <c r="G78" s="18"/>
      <c r="H78" s="18"/>
      <c r="I78" s="18"/>
      <c r="J78" s="18"/>
      <c r="K78" s="18"/>
      <c r="L78" s="18"/>
      <c r="M78" s="18"/>
      <c r="N78" s="18"/>
    </row>
    <row r="79" spans="1:6" ht="4.5" customHeight="1">
      <c r="A79" s="10"/>
      <c r="B79" s="11"/>
      <c r="C79" s="12"/>
      <c r="D79" s="193"/>
      <c r="E79" s="193"/>
      <c r="F79" s="13"/>
    </row>
    <row r="80" spans="1:14" ht="12.75">
      <c r="A80" s="10"/>
      <c r="B80" s="11"/>
      <c r="C80" s="12"/>
      <c r="D80" s="221" t="s">
        <v>319</v>
      </c>
      <c r="E80" s="221"/>
      <c r="F80" s="221"/>
      <c r="G80" s="221"/>
      <c r="H80" s="221" t="s">
        <v>320</v>
      </c>
      <c r="I80" s="221"/>
      <c r="J80" s="221"/>
      <c r="K80" s="221"/>
      <c r="L80" s="221"/>
      <c r="M80" s="172" t="s">
        <v>321</v>
      </c>
      <c r="N80" s="172"/>
    </row>
    <row r="81" spans="1:12" ht="12.75">
      <c r="A81" s="10"/>
      <c r="B81" s="11"/>
      <c r="C81" s="12"/>
      <c r="D81" s="221"/>
      <c r="E81" s="221"/>
      <c r="F81" s="221"/>
      <c r="G81" s="221"/>
      <c r="H81" s="221"/>
      <c r="I81" s="221"/>
      <c r="J81" s="221"/>
      <c r="K81" s="221"/>
      <c r="L81" s="221"/>
    </row>
    <row r="82" spans="1:14" ht="4.5" customHeight="1">
      <c r="A82" s="10"/>
      <c r="B82" s="11"/>
      <c r="C82" s="197"/>
      <c r="D82" s="198"/>
      <c r="E82" s="198"/>
      <c r="F82" s="199"/>
      <c r="G82" s="18"/>
      <c r="H82" s="18"/>
      <c r="I82" s="18"/>
      <c r="J82" s="18"/>
      <c r="K82" s="18"/>
      <c r="L82" s="18"/>
      <c r="M82" s="18"/>
      <c r="N82" s="18"/>
    </row>
    <row r="83" spans="1:6" ht="4.5" customHeight="1">
      <c r="A83" s="10"/>
      <c r="B83" s="11"/>
      <c r="C83" s="12"/>
      <c r="D83" s="193"/>
      <c r="E83" s="193"/>
      <c r="F83" s="13"/>
    </row>
    <row r="84" spans="1:14" ht="12.75">
      <c r="A84" s="10"/>
      <c r="B84" s="11"/>
      <c r="C84" s="12"/>
      <c r="D84" s="221" t="s">
        <v>135</v>
      </c>
      <c r="E84" s="221"/>
      <c r="F84" s="221"/>
      <c r="G84" s="221"/>
      <c r="H84" s="221" t="s">
        <v>136</v>
      </c>
      <c r="I84" s="221"/>
      <c r="J84" s="221"/>
      <c r="K84" s="221"/>
      <c r="L84" s="221"/>
      <c r="M84" s="172" t="s">
        <v>137</v>
      </c>
      <c r="N84" s="172"/>
    </row>
    <row r="85" spans="1:14" ht="4.5" customHeight="1">
      <c r="A85" s="10"/>
      <c r="B85" s="11"/>
      <c r="C85" s="197"/>
      <c r="D85" s="198"/>
      <c r="E85" s="198"/>
      <c r="F85" s="199"/>
      <c r="G85" s="18"/>
      <c r="H85" s="18"/>
      <c r="I85" s="18"/>
      <c r="J85" s="18"/>
      <c r="K85" s="18"/>
      <c r="L85" s="18"/>
      <c r="M85" s="18"/>
      <c r="N85" s="18"/>
    </row>
    <row r="86" spans="1:6" ht="4.5" customHeight="1">
      <c r="A86" s="10"/>
      <c r="B86" s="11"/>
      <c r="C86" s="12"/>
      <c r="D86" s="193"/>
      <c r="E86" s="193"/>
      <c r="F86" s="13"/>
    </row>
    <row r="87" spans="1:14" ht="12.75">
      <c r="A87" s="10"/>
      <c r="B87" s="11"/>
      <c r="C87" s="12"/>
      <c r="D87" s="221" t="s">
        <v>142</v>
      </c>
      <c r="E87" s="221"/>
      <c r="F87" s="221"/>
      <c r="G87" s="221"/>
      <c r="H87" s="221" t="s">
        <v>143</v>
      </c>
      <c r="I87" s="221"/>
      <c r="J87" s="221"/>
      <c r="K87" s="221"/>
      <c r="L87" s="221"/>
      <c r="M87" s="172" t="s">
        <v>144</v>
      </c>
      <c r="N87" s="172"/>
    </row>
    <row r="88" spans="1:14" ht="4.5" customHeight="1">
      <c r="A88" s="10"/>
      <c r="B88" s="11"/>
      <c r="C88" s="194"/>
      <c r="D88" s="195"/>
      <c r="E88" s="195"/>
      <c r="F88" s="196"/>
      <c r="G88" s="16"/>
      <c r="H88" s="16"/>
      <c r="I88" s="16"/>
      <c r="J88" s="16"/>
      <c r="K88" s="16"/>
      <c r="L88" s="16"/>
      <c r="M88" s="16"/>
      <c r="N88" s="16"/>
    </row>
    <row r="89" spans="1:6" ht="4.5" customHeight="1">
      <c r="A89" s="10"/>
      <c r="B89" s="11"/>
      <c r="C89" s="12"/>
      <c r="D89" s="193"/>
      <c r="E89" s="193"/>
      <c r="F89" s="13"/>
    </row>
    <row r="90" spans="1:14" ht="12.75">
      <c r="A90" s="10"/>
      <c r="B90" s="11"/>
      <c r="C90" s="12"/>
      <c r="D90" s="221" t="s">
        <v>145</v>
      </c>
      <c r="E90" s="221"/>
      <c r="F90" s="221"/>
      <c r="G90" s="221"/>
      <c r="H90" s="221" t="s">
        <v>322</v>
      </c>
      <c r="I90" s="221"/>
      <c r="J90" s="221"/>
      <c r="K90" s="221"/>
      <c r="L90" s="221"/>
      <c r="M90" s="172" t="s">
        <v>146</v>
      </c>
      <c r="N90" s="172"/>
    </row>
    <row r="91" spans="1:12" ht="12.75">
      <c r="A91" s="10"/>
      <c r="B91" s="11"/>
      <c r="C91" s="12"/>
      <c r="D91" s="221"/>
      <c r="E91" s="221"/>
      <c r="F91" s="221"/>
      <c r="G91" s="221"/>
      <c r="H91" s="221"/>
      <c r="I91" s="221"/>
      <c r="J91" s="221"/>
      <c r="K91" s="221"/>
      <c r="L91" s="221"/>
    </row>
    <row r="92" spans="1:6" ht="4.5" customHeight="1">
      <c r="A92" s="10"/>
      <c r="B92" s="11"/>
      <c r="C92" s="12"/>
      <c r="D92" s="193"/>
      <c r="E92" s="193"/>
      <c r="F92" s="13"/>
    </row>
    <row r="93" spans="1:14" ht="12.75">
      <c r="A93" s="10"/>
      <c r="B93" s="11"/>
      <c r="C93" s="12"/>
      <c r="D93" s="221" t="s">
        <v>147</v>
      </c>
      <c r="E93" s="221"/>
      <c r="F93" s="221"/>
      <c r="G93" s="221"/>
      <c r="H93" s="221" t="s">
        <v>323</v>
      </c>
      <c r="I93" s="221"/>
      <c r="J93" s="221"/>
      <c r="K93" s="221"/>
      <c r="L93" s="221"/>
      <c r="M93" s="172" t="s">
        <v>148</v>
      </c>
      <c r="N93" s="172"/>
    </row>
    <row r="94" spans="1:12" ht="12.75">
      <c r="A94" s="10"/>
      <c r="B94" s="11"/>
      <c r="C94" s="12"/>
      <c r="D94" s="221"/>
      <c r="E94" s="221"/>
      <c r="F94" s="221"/>
      <c r="G94" s="221"/>
      <c r="H94" s="221"/>
      <c r="I94" s="221"/>
      <c r="J94" s="221"/>
      <c r="K94" s="221"/>
      <c r="L94" s="221"/>
    </row>
    <row r="95" spans="1:14" ht="4.5" customHeight="1">
      <c r="A95" s="10"/>
      <c r="B95" s="11"/>
      <c r="C95" s="197"/>
      <c r="D95" s="198"/>
      <c r="E95" s="198"/>
      <c r="F95" s="199"/>
      <c r="G95" s="18"/>
      <c r="H95" s="18"/>
      <c r="I95" s="18"/>
      <c r="J95" s="18"/>
      <c r="K95" s="18"/>
      <c r="L95" s="18"/>
      <c r="M95" s="18"/>
      <c r="N95" s="18"/>
    </row>
    <row r="96" spans="1:6" ht="4.5" customHeight="1">
      <c r="A96" s="10"/>
      <c r="B96" s="11"/>
      <c r="C96" s="12"/>
      <c r="D96" s="193"/>
      <c r="E96" s="193"/>
      <c r="F96" s="13"/>
    </row>
    <row r="97" spans="1:14" ht="12.75">
      <c r="A97" s="10"/>
      <c r="B97" s="11"/>
      <c r="C97" s="12"/>
      <c r="D97" s="221" t="s">
        <v>569</v>
      </c>
      <c r="E97" s="221"/>
      <c r="F97" s="221"/>
      <c r="G97" s="221"/>
      <c r="H97" s="221" t="s">
        <v>570</v>
      </c>
      <c r="I97" s="221"/>
      <c r="J97" s="221"/>
      <c r="K97" s="221"/>
      <c r="L97" s="221"/>
      <c r="M97" s="172" t="s">
        <v>571</v>
      </c>
      <c r="N97" s="172"/>
    </row>
    <row r="98" spans="1:12" ht="12.75">
      <c r="A98" s="10"/>
      <c r="B98" s="11"/>
      <c r="C98" s="12"/>
      <c r="D98" s="221"/>
      <c r="E98" s="221"/>
      <c r="F98" s="221"/>
      <c r="G98" s="221"/>
      <c r="H98" s="221"/>
      <c r="I98" s="221"/>
      <c r="J98" s="221"/>
      <c r="K98" s="221"/>
      <c r="L98" s="221"/>
    </row>
    <row r="99" spans="1:14" ht="4.5" customHeight="1">
      <c r="A99" s="10"/>
      <c r="B99" s="11"/>
      <c r="C99" s="194"/>
      <c r="D99" s="195"/>
      <c r="E99" s="195"/>
      <c r="F99" s="196"/>
      <c r="G99" s="16"/>
      <c r="H99" s="16"/>
      <c r="I99" s="16"/>
      <c r="J99" s="16"/>
      <c r="K99" s="16"/>
      <c r="L99" s="16"/>
      <c r="M99" s="16"/>
      <c r="N99" s="16"/>
    </row>
    <row r="100" spans="1:6" ht="12.75">
      <c r="A100" s="10"/>
      <c r="B100" s="11"/>
      <c r="C100" s="12"/>
      <c r="D100" s="193"/>
      <c r="E100" s="193"/>
      <c r="F100" s="13"/>
    </row>
    <row r="101" spans="1:6" ht="12.75">
      <c r="A101" s="10"/>
      <c r="B101" s="11"/>
      <c r="C101" s="23" t="s">
        <v>572</v>
      </c>
      <c r="D101" s="193"/>
      <c r="E101" s="193"/>
      <c r="F101" s="13"/>
    </row>
    <row r="102" spans="1:6" ht="12.75">
      <c r="A102" s="10"/>
      <c r="B102" s="11"/>
      <c r="C102" s="33" t="s">
        <v>324</v>
      </c>
      <c r="D102" s="193"/>
      <c r="E102" s="193"/>
      <c r="F102" s="13"/>
    </row>
    <row r="103" spans="1:6" ht="12.75">
      <c r="A103" s="10"/>
      <c r="B103" s="11"/>
      <c r="C103" s="33" t="s">
        <v>573</v>
      </c>
      <c r="D103" s="193"/>
      <c r="E103" s="193"/>
      <c r="F103" s="13"/>
    </row>
    <row r="104" spans="1:6" ht="12.75">
      <c r="A104" s="10"/>
      <c r="B104" s="11"/>
      <c r="C104" s="12"/>
      <c r="D104" s="193"/>
      <c r="E104" s="193"/>
      <c r="F104" s="13"/>
    </row>
    <row r="105" spans="1:6" ht="12.75">
      <c r="A105" s="10"/>
      <c r="B105" s="11"/>
      <c r="C105" s="12"/>
      <c r="D105" s="193"/>
      <c r="E105" s="193"/>
      <c r="F105" s="13"/>
    </row>
    <row r="106" spans="1:6" ht="12.75">
      <c r="A106" s="10"/>
      <c r="B106" s="30" t="s">
        <v>149</v>
      </c>
      <c r="C106" s="12"/>
      <c r="D106" s="193"/>
      <c r="E106" s="193"/>
      <c r="F106" s="13"/>
    </row>
    <row r="107" spans="1:6" ht="12.75">
      <c r="A107" s="10"/>
      <c r="B107" s="11"/>
      <c r="C107" s="12"/>
      <c r="D107" s="193"/>
      <c r="E107" s="193"/>
      <c r="F107" s="13"/>
    </row>
    <row r="108" spans="1:14" ht="12.75">
      <c r="A108" s="10"/>
      <c r="B108" s="11"/>
      <c r="C108" s="194"/>
      <c r="D108" s="32" t="s">
        <v>150</v>
      </c>
      <c r="E108" s="195"/>
      <c r="F108" s="196"/>
      <c r="G108" s="16"/>
      <c r="H108" s="32" t="s">
        <v>151</v>
      </c>
      <c r="I108" s="16"/>
      <c r="J108" s="16"/>
      <c r="K108" s="16"/>
      <c r="L108" s="16"/>
      <c r="M108" s="204" t="s">
        <v>152</v>
      </c>
      <c r="N108" s="204"/>
    </row>
    <row r="109" spans="1:6" ht="4.5" customHeight="1">
      <c r="A109" s="10"/>
      <c r="B109" s="11"/>
      <c r="C109" s="12"/>
      <c r="D109" s="193"/>
      <c r="E109" s="193"/>
      <c r="F109" s="13"/>
    </row>
    <row r="110" spans="1:14" ht="12.75">
      <c r="A110" s="10"/>
      <c r="B110" s="11"/>
      <c r="C110" s="12"/>
      <c r="D110" s="202" t="s">
        <v>153</v>
      </c>
      <c r="E110" s="202"/>
      <c r="F110" s="202"/>
      <c r="G110" s="202"/>
      <c r="H110" s="202" t="s">
        <v>154</v>
      </c>
      <c r="I110" s="202"/>
      <c r="J110" s="202"/>
      <c r="K110" s="202"/>
      <c r="L110" s="202"/>
      <c r="M110" s="203" t="s">
        <v>155</v>
      </c>
      <c r="N110" s="203"/>
    </row>
    <row r="111" spans="1:6" ht="4.5" customHeight="1">
      <c r="A111" s="10"/>
      <c r="B111" s="11"/>
      <c r="C111" s="12"/>
      <c r="D111" s="193"/>
      <c r="E111" s="193"/>
      <c r="F111" s="13"/>
    </row>
    <row r="112" spans="1:14" ht="12.75">
      <c r="A112" s="10"/>
      <c r="B112" s="11"/>
      <c r="C112" s="12"/>
      <c r="D112" s="202" t="s">
        <v>156</v>
      </c>
      <c r="E112" s="202"/>
      <c r="F112" s="202"/>
      <c r="G112" s="202"/>
      <c r="H112" s="202" t="s">
        <v>157</v>
      </c>
      <c r="I112" s="202"/>
      <c r="J112" s="202"/>
      <c r="K112" s="202"/>
      <c r="L112" s="202"/>
      <c r="M112" s="203" t="s">
        <v>158</v>
      </c>
      <c r="N112" s="203"/>
    </row>
    <row r="113" spans="1:6" ht="4.5" customHeight="1">
      <c r="A113" s="10"/>
      <c r="B113" s="11"/>
      <c r="C113" s="12"/>
      <c r="D113" s="193"/>
      <c r="E113" s="193"/>
      <c r="F113" s="13"/>
    </row>
    <row r="114" spans="1:14" ht="12.75">
      <c r="A114" s="10"/>
      <c r="B114" s="11"/>
      <c r="C114" s="12"/>
      <c r="D114" s="202" t="s">
        <v>159</v>
      </c>
      <c r="E114" s="202"/>
      <c r="F114" s="202"/>
      <c r="G114" s="202"/>
      <c r="H114" s="202" t="s">
        <v>160</v>
      </c>
      <c r="I114" s="202"/>
      <c r="J114" s="202"/>
      <c r="K114" s="202"/>
      <c r="L114" s="202"/>
      <c r="M114" s="203" t="s">
        <v>161</v>
      </c>
      <c r="N114" s="203"/>
    </row>
    <row r="115" spans="1:6" ht="4.5" customHeight="1">
      <c r="A115" s="10"/>
      <c r="B115" s="11"/>
      <c r="C115" s="12"/>
      <c r="D115" s="193"/>
      <c r="E115" s="193"/>
      <c r="F115" s="13"/>
    </row>
    <row r="116" spans="1:14" ht="12.75">
      <c r="A116" s="10"/>
      <c r="B116" s="11"/>
      <c r="C116" s="12"/>
      <c r="D116" s="202" t="s">
        <v>162</v>
      </c>
      <c r="E116" s="202"/>
      <c r="F116" s="202"/>
      <c r="G116" s="202"/>
      <c r="H116" s="202" t="s">
        <v>163</v>
      </c>
      <c r="I116" s="202"/>
      <c r="J116" s="202"/>
      <c r="K116" s="202"/>
      <c r="L116" s="202"/>
      <c r="M116" s="203" t="s">
        <v>164</v>
      </c>
      <c r="N116" s="203"/>
    </row>
    <row r="117" spans="1:6" ht="4.5" customHeight="1">
      <c r="A117" s="10"/>
      <c r="B117" s="11"/>
      <c r="C117" s="12"/>
      <c r="D117" s="193"/>
      <c r="E117" s="193"/>
      <c r="F117" s="13"/>
    </row>
    <row r="118" spans="1:14" ht="12.75">
      <c r="A118" s="10"/>
      <c r="B118" s="11"/>
      <c r="C118" s="12"/>
      <c r="D118" s="202" t="s">
        <v>165</v>
      </c>
      <c r="E118" s="202"/>
      <c r="F118" s="202"/>
      <c r="G118" s="202"/>
      <c r="H118" s="202" t="s">
        <v>166</v>
      </c>
      <c r="I118" s="202"/>
      <c r="J118" s="202"/>
      <c r="K118" s="202"/>
      <c r="L118" s="202"/>
      <c r="M118" s="203" t="s">
        <v>167</v>
      </c>
      <c r="N118" s="203"/>
    </row>
    <row r="119" spans="1:6" ht="4.5" customHeight="1">
      <c r="A119" s="10"/>
      <c r="B119" s="11"/>
      <c r="C119" s="12"/>
      <c r="D119" s="193"/>
      <c r="E119" s="193"/>
      <c r="F119" s="13"/>
    </row>
    <row r="120" spans="1:14" ht="12.75">
      <c r="A120" s="10"/>
      <c r="B120" s="11"/>
      <c r="C120" s="12"/>
      <c r="D120" s="202" t="s">
        <v>319</v>
      </c>
      <c r="E120" s="202"/>
      <c r="F120" s="202"/>
      <c r="G120" s="202"/>
      <c r="H120" s="202" t="s">
        <v>168</v>
      </c>
      <c r="I120" s="202"/>
      <c r="J120" s="202"/>
      <c r="K120" s="202"/>
      <c r="L120" s="202"/>
      <c r="M120" s="203" t="s">
        <v>169</v>
      </c>
      <c r="N120" s="203"/>
    </row>
    <row r="121" spans="1:6" ht="4.5" customHeight="1">
      <c r="A121" s="10"/>
      <c r="B121" s="11"/>
      <c r="C121" s="12"/>
      <c r="D121" s="193"/>
      <c r="E121" s="193"/>
      <c r="F121" s="13"/>
    </row>
    <row r="122" spans="1:14" ht="12.75">
      <c r="A122" s="10"/>
      <c r="B122" s="11"/>
      <c r="C122" s="12"/>
      <c r="D122" s="202" t="s">
        <v>110</v>
      </c>
      <c r="E122" s="202"/>
      <c r="F122" s="202"/>
      <c r="G122" s="202"/>
      <c r="H122" s="202" t="s">
        <v>170</v>
      </c>
      <c r="I122" s="202"/>
      <c r="J122" s="202"/>
      <c r="K122" s="202"/>
      <c r="L122" s="202"/>
      <c r="M122" s="203" t="s">
        <v>171</v>
      </c>
      <c r="N122" s="203"/>
    </row>
    <row r="123" spans="1:6" ht="4.5" customHeight="1">
      <c r="A123" s="10"/>
      <c r="B123" s="11"/>
      <c r="C123" s="12"/>
      <c r="D123" s="193"/>
      <c r="E123" s="193"/>
      <c r="F123" s="13"/>
    </row>
    <row r="124" spans="1:14" ht="12.75">
      <c r="A124" s="10"/>
      <c r="B124" s="11"/>
      <c r="C124" s="12"/>
      <c r="D124" s="202" t="s">
        <v>325</v>
      </c>
      <c r="E124" s="202"/>
      <c r="F124" s="202"/>
      <c r="G124" s="202"/>
      <c r="H124" s="202" t="s">
        <v>172</v>
      </c>
      <c r="I124" s="202"/>
      <c r="J124" s="202"/>
      <c r="K124" s="202"/>
      <c r="L124" s="202"/>
      <c r="M124" s="203" t="s">
        <v>173</v>
      </c>
      <c r="N124" s="203"/>
    </row>
    <row r="125" spans="1:6" ht="4.5" customHeight="1">
      <c r="A125" s="10"/>
      <c r="B125" s="11"/>
      <c r="C125" s="12"/>
      <c r="D125" s="193"/>
      <c r="E125" s="193"/>
      <c r="F125" s="13"/>
    </row>
    <row r="126" spans="1:14" ht="12.75">
      <c r="A126" s="10"/>
      <c r="B126" s="11"/>
      <c r="C126" s="12"/>
      <c r="D126" s="202" t="s">
        <v>326</v>
      </c>
      <c r="E126" s="202"/>
      <c r="F126" s="202"/>
      <c r="G126" s="202"/>
      <c r="H126" s="202" t="s">
        <v>174</v>
      </c>
      <c r="I126" s="202"/>
      <c r="J126" s="202"/>
      <c r="K126" s="202"/>
      <c r="L126" s="202"/>
      <c r="M126" s="203" t="s">
        <v>175</v>
      </c>
      <c r="N126" s="203"/>
    </row>
    <row r="127" spans="1:6" ht="4.5" customHeight="1">
      <c r="A127" s="10"/>
      <c r="B127" s="11"/>
      <c r="C127" s="12"/>
      <c r="D127" s="193"/>
      <c r="E127" s="193"/>
      <c r="F127" s="13"/>
    </row>
    <row r="128" spans="1:14" ht="12.75">
      <c r="A128" s="10"/>
      <c r="B128" s="11"/>
      <c r="C128" s="12"/>
      <c r="D128" s="202" t="s">
        <v>327</v>
      </c>
      <c r="E128" s="202"/>
      <c r="F128" s="202"/>
      <c r="G128" s="202"/>
      <c r="H128" s="202" t="s">
        <v>176</v>
      </c>
      <c r="I128" s="202"/>
      <c r="J128" s="202"/>
      <c r="K128" s="202"/>
      <c r="L128" s="202"/>
      <c r="M128" s="203" t="s">
        <v>177</v>
      </c>
      <c r="N128" s="203"/>
    </row>
    <row r="129" spans="1:6" ht="4.5" customHeight="1">
      <c r="A129" s="10"/>
      <c r="B129" s="11"/>
      <c r="C129" s="12"/>
      <c r="D129" s="193"/>
      <c r="E129" s="193"/>
      <c r="F129" s="13"/>
    </row>
    <row r="130" spans="1:14" ht="12.75">
      <c r="A130" s="10"/>
      <c r="B130" s="11"/>
      <c r="C130" s="12"/>
      <c r="D130" s="202" t="s">
        <v>328</v>
      </c>
      <c r="E130" s="202"/>
      <c r="F130" s="202"/>
      <c r="G130" s="202"/>
      <c r="H130" s="202" t="s">
        <v>178</v>
      </c>
      <c r="I130" s="202"/>
      <c r="J130" s="202"/>
      <c r="K130" s="202"/>
      <c r="L130" s="202"/>
      <c r="M130" s="203" t="s">
        <v>179</v>
      </c>
      <c r="N130" s="203"/>
    </row>
    <row r="131" spans="1:6" ht="4.5" customHeight="1">
      <c r="A131" s="10"/>
      <c r="B131" s="11"/>
      <c r="C131" s="12"/>
      <c r="D131" s="193"/>
      <c r="E131" s="193"/>
      <c r="F131" s="13"/>
    </row>
    <row r="132" spans="1:14" ht="12.75">
      <c r="A132" s="10"/>
      <c r="B132" s="11"/>
      <c r="C132" s="12"/>
      <c r="D132" s="202" t="s">
        <v>329</v>
      </c>
      <c r="E132" s="202"/>
      <c r="F132" s="202"/>
      <c r="G132" s="202"/>
      <c r="H132" s="202" t="s">
        <v>180</v>
      </c>
      <c r="I132" s="202"/>
      <c r="J132" s="202"/>
      <c r="K132" s="202"/>
      <c r="L132" s="202"/>
      <c r="M132" s="203" t="s">
        <v>181</v>
      </c>
      <c r="N132" s="203"/>
    </row>
    <row r="133" spans="1:6" ht="4.5" customHeight="1">
      <c r="A133" s="10"/>
      <c r="B133" s="11"/>
      <c r="C133" s="12"/>
      <c r="D133" s="193"/>
      <c r="E133" s="193"/>
      <c r="F133" s="13"/>
    </row>
    <row r="134" spans="1:14" ht="12.75">
      <c r="A134" s="10"/>
      <c r="B134" s="11"/>
      <c r="C134" s="12"/>
      <c r="D134" s="202" t="s">
        <v>330</v>
      </c>
      <c r="E134" s="202"/>
      <c r="F134" s="202"/>
      <c r="G134" s="202"/>
      <c r="H134" s="202" t="s">
        <v>182</v>
      </c>
      <c r="I134" s="202"/>
      <c r="J134" s="202"/>
      <c r="K134" s="202"/>
      <c r="L134" s="202"/>
      <c r="M134" s="203" t="s">
        <v>183</v>
      </c>
      <c r="N134" s="203"/>
    </row>
    <row r="135" spans="1:6" ht="4.5" customHeight="1">
      <c r="A135" s="10"/>
      <c r="B135" s="11"/>
      <c r="C135" s="12"/>
      <c r="D135" s="193"/>
      <c r="E135" s="193"/>
      <c r="F135" s="13"/>
    </row>
    <row r="136" spans="1:14" ht="12.75">
      <c r="A136" s="10"/>
      <c r="B136" s="11"/>
      <c r="C136" s="12"/>
      <c r="D136" s="202" t="s">
        <v>184</v>
      </c>
      <c r="E136" s="202"/>
      <c r="F136" s="202"/>
      <c r="G136" s="202"/>
      <c r="H136" s="202" t="s">
        <v>185</v>
      </c>
      <c r="I136" s="202"/>
      <c r="J136" s="202"/>
      <c r="K136" s="202"/>
      <c r="L136" s="202"/>
      <c r="M136" s="203" t="s">
        <v>186</v>
      </c>
      <c r="N136" s="203"/>
    </row>
    <row r="137" spans="1:14" ht="4.5" customHeight="1">
      <c r="A137" s="10"/>
      <c r="B137" s="11"/>
      <c r="C137" s="194"/>
      <c r="D137" s="195"/>
      <c r="E137" s="195"/>
      <c r="F137" s="196"/>
      <c r="G137" s="16"/>
      <c r="H137" s="16"/>
      <c r="I137" s="16"/>
      <c r="J137" s="16"/>
      <c r="K137" s="16"/>
      <c r="L137" s="16"/>
      <c r="M137" s="16"/>
      <c r="N137" s="16"/>
    </row>
  </sheetData>
  <sheetProtection/>
  <mergeCells count="131">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M38:N38"/>
    <mergeCell ref="D28:G28"/>
    <mergeCell ref="D48:G48"/>
    <mergeCell ref="H48:L48"/>
    <mergeCell ref="M48:N48"/>
    <mergeCell ref="D42:G42"/>
    <mergeCell ref="H42:L42"/>
    <mergeCell ref="M42:N42"/>
    <mergeCell ref="H17:L18"/>
    <mergeCell ref="M33:N33"/>
    <mergeCell ref="M23:N23"/>
    <mergeCell ref="D20:G20"/>
    <mergeCell ref="H20:L20"/>
    <mergeCell ref="H28:L28"/>
    <mergeCell ref="M28:N28"/>
    <mergeCell ref="M30:N30"/>
    <mergeCell ref="D30:G31"/>
    <mergeCell ref="H30:L31"/>
    <mergeCell ref="D13:G13"/>
    <mergeCell ref="H13:L13"/>
    <mergeCell ref="M13:N13"/>
    <mergeCell ref="M56:N56"/>
    <mergeCell ref="D15:G15"/>
    <mergeCell ref="H15:L15"/>
    <mergeCell ref="M15:N15"/>
    <mergeCell ref="M17:N17"/>
    <mergeCell ref="M20:N20"/>
    <mergeCell ref="D17:G18"/>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M93:N93"/>
    <mergeCell ref="D93:G94"/>
    <mergeCell ref="H93:L94"/>
    <mergeCell ref="D90:G91"/>
    <mergeCell ref="H90:L91"/>
    <mergeCell ref="M97:N97"/>
    <mergeCell ref="D97:G98"/>
    <mergeCell ref="H97:L98"/>
    <mergeCell ref="D84:G84"/>
    <mergeCell ref="H84:L84"/>
    <mergeCell ref="M84:N84"/>
    <mergeCell ref="D87:G87"/>
    <mergeCell ref="H87:L87"/>
    <mergeCell ref="M87:N87"/>
    <mergeCell ref="M90:N90"/>
    <mergeCell ref="M108:N10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D136:G136"/>
    <mergeCell ref="H136:L136"/>
    <mergeCell ref="M136:N136"/>
    <mergeCell ref="D132:G132"/>
    <mergeCell ref="H132:L132"/>
    <mergeCell ref="M132:N132"/>
    <mergeCell ref="D128:G128"/>
    <mergeCell ref="H128:L128"/>
    <mergeCell ref="M128:N128"/>
    <mergeCell ref="D130:G130"/>
    <mergeCell ref="H130:L130"/>
    <mergeCell ref="M130:N130"/>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&amp;N&amp;R&amp;G</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387</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5" t="s">
        <v>522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515</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2010-10-11T23:43:13Z</cp:lastPrinted>
  <dcterms:created xsi:type="dcterms:W3CDTF">2006-03-09T22:44:34Z</dcterms:created>
  <dcterms:modified xsi:type="dcterms:W3CDTF">2010-11-30T01:13:23Z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